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DieseArbeitsmappe" defaultThemeVersion="166925"/>
  <mc:AlternateContent xmlns:mc="http://schemas.openxmlformats.org/markup-compatibility/2006">
    <mc:Choice Requires="x15">
      <x15ac:absPath xmlns:x15ac="http://schemas.microsoft.com/office/spreadsheetml/2010/11/ac" url="C:\Users\claudiusschnee\Desktop\"/>
    </mc:Choice>
  </mc:AlternateContent>
  <xr:revisionPtr revIDLastSave="0" documentId="13_ncr:1_{EF83E3D4-74FE-45AB-BF1A-AF98B41B5950}" xr6:coauthVersionLast="36" xr6:coauthVersionMax="47" xr10:uidLastSave="{00000000-0000-0000-0000-000000000000}"/>
  <workbookProtection workbookAlgorithmName="SHA-512" workbookHashValue="1k3oPIyz1tl9R4HqJzbn3kQeX3lDJEoEx0blHmbylF1Ga8gOzIdUNZgDcykpFHegCmfCWBqPWgeW6sxVGoJnlQ==" workbookSaltValue="lnmbDqL/Jz+2ZhYLdpWtag==" workbookSpinCount="100000" lockStructure="1"/>
  <bookViews>
    <workbookView xWindow="0" yWindow="0" windowWidth="25755" windowHeight="17565" xr2:uid="{CE0EC318-2A34-400C-83C1-E8929E012DD2}"/>
  </bookViews>
  <sheets>
    <sheet name="Förderrechner_neu" sheetId="3" r:id="rId1"/>
    <sheet name="Übersicht Wohngebäude"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26" i="3" l="1"/>
  <c r="A17" i="3"/>
  <c r="A11" i="3"/>
  <c r="F23" i="3" l="1"/>
  <c r="A7" i="3"/>
  <c r="H2" i="5"/>
  <c r="A36" i="5" s="1"/>
  <c r="A2" i="5"/>
  <c r="D19" i="5"/>
  <c r="G19" i="5" s="1"/>
  <c r="I19" i="5"/>
  <c r="D20" i="5"/>
  <c r="G20" i="5" s="1"/>
  <c r="I20" i="5"/>
  <c r="D21" i="5"/>
  <c r="G21" i="5" s="1"/>
  <c r="I21" i="5"/>
  <c r="D22" i="5"/>
  <c r="H22" i="5" s="1"/>
  <c r="I22" i="5"/>
  <c r="D23" i="5"/>
  <c r="F23" i="5" s="1"/>
  <c r="I23" i="5"/>
  <c r="D24" i="5"/>
  <c r="H24" i="5" s="1"/>
  <c r="I24" i="5"/>
  <c r="D25" i="5"/>
  <c r="J25" i="5" s="1"/>
  <c r="I25" i="5"/>
  <c r="D26" i="5"/>
  <c r="J26" i="5" s="1"/>
  <c r="I26" i="5"/>
  <c r="D27" i="5"/>
  <c r="G27" i="5" s="1"/>
  <c r="I27" i="5"/>
  <c r="D7" i="3"/>
  <c r="B29" i="5"/>
  <c r="C29" i="5"/>
  <c r="I29" i="5" s="1"/>
  <c r="D29" i="5"/>
  <c r="K32" i="5"/>
  <c r="M33" i="5"/>
  <c r="A14" i="3"/>
  <c r="C5" i="5"/>
  <c r="I5" i="5" s="1"/>
  <c r="C7" i="5"/>
  <c r="I7" i="5" s="1"/>
  <c r="C8" i="5"/>
  <c r="I8" i="5" s="1"/>
  <c r="C9" i="5"/>
  <c r="I9" i="5" s="1"/>
  <c r="C10" i="5"/>
  <c r="I10" i="5" s="1"/>
  <c r="C11" i="5"/>
  <c r="I11" i="5" s="1"/>
  <c r="C12" i="5"/>
  <c r="I12" i="5" s="1"/>
  <c r="C13" i="5"/>
  <c r="I13" i="5" s="1"/>
  <c r="C14" i="5"/>
  <c r="I14" i="5" s="1"/>
  <c r="C15" i="5"/>
  <c r="I15" i="5" s="1"/>
  <c r="C16" i="5"/>
  <c r="I16" i="5" s="1"/>
  <c r="C17" i="5"/>
  <c r="I17" i="5" s="1"/>
  <c r="C18" i="5"/>
  <c r="I18" i="5" s="1"/>
  <c r="C28" i="5"/>
  <c r="I28" i="5" s="1"/>
  <c r="C6" i="5"/>
  <c r="I6" i="5" s="1"/>
  <c r="B7" i="5"/>
  <c r="B8" i="5"/>
  <c r="B9" i="5"/>
  <c r="B10" i="5"/>
  <c r="B11" i="5"/>
  <c r="B12" i="5"/>
  <c r="B13" i="5"/>
  <c r="B14" i="5"/>
  <c r="B15" i="5"/>
  <c r="B16" i="5"/>
  <c r="B17" i="5"/>
  <c r="B18" i="5"/>
  <c r="B28" i="5"/>
  <c r="B6" i="5"/>
  <c r="B5" i="5"/>
  <c r="D12" i="5"/>
  <c r="D13" i="5"/>
  <c r="D14" i="5"/>
  <c r="J14" i="5" s="1"/>
  <c r="D15" i="5"/>
  <c r="D16" i="5"/>
  <c r="D17" i="5"/>
  <c r="J17" i="5" s="1"/>
  <c r="D18" i="5"/>
  <c r="J18" i="5" s="1"/>
  <c r="D28" i="5"/>
  <c r="D11" i="5"/>
  <c r="D7" i="5"/>
  <c r="G7" i="5" s="1"/>
  <c r="D8" i="5"/>
  <c r="G8" i="5" s="1"/>
  <c r="D9" i="5"/>
  <c r="G9" i="5" s="1"/>
  <c r="D10" i="5"/>
  <c r="G10" i="5" s="1"/>
  <c r="D6" i="5"/>
  <c r="D5" i="5"/>
  <c r="A1" i="5"/>
  <c r="J6" i="5" l="1"/>
  <c r="J12" i="5"/>
  <c r="G15" i="5"/>
  <c r="J19" i="5"/>
  <c r="G5" i="5"/>
  <c r="G12" i="5"/>
  <c r="J9" i="5"/>
  <c r="J7" i="5"/>
  <c r="G26" i="5"/>
  <c r="G25" i="5"/>
  <c r="G18" i="5"/>
  <c r="G17" i="5"/>
  <c r="J21" i="5"/>
  <c r="G6" i="5"/>
  <c r="G16" i="5"/>
  <c r="G14" i="5"/>
  <c r="G29" i="5"/>
  <c r="G11" i="5"/>
  <c r="G13" i="5"/>
  <c r="G28" i="5"/>
  <c r="J5" i="5"/>
  <c r="J29" i="5"/>
  <c r="J28" i="5"/>
  <c r="J16" i="5"/>
  <c r="J27" i="5"/>
  <c r="J15" i="5"/>
  <c r="J13" i="5"/>
  <c r="J24" i="5"/>
  <c r="G24" i="5"/>
  <c r="J23" i="5"/>
  <c r="J11" i="5"/>
  <c r="G23" i="5"/>
  <c r="J22" i="5"/>
  <c r="J10" i="5"/>
  <c r="G22" i="5"/>
  <c r="J20" i="5"/>
  <c r="J8" i="5"/>
  <c r="E16" i="5"/>
  <c r="K16" i="5" s="1"/>
  <c r="E27" i="5"/>
  <c r="K27" i="5" s="1"/>
  <c r="E26" i="5"/>
  <c r="K26" i="5" s="1"/>
  <c r="E22" i="5"/>
  <c r="K22" i="5" s="1"/>
  <c r="E21" i="5"/>
  <c r="K21" i="5" s="1"/>
  <c r="E20" i="5"/>
  <c r="K20" i="5" s="1"/>
  <c r="E19" i="5"/>
  <c r="K19" i="5" s="1"/>
  <c r="A32" i="5" a="1"/>
  <c r="A32" i="5" s="1"/>
  <c r="H29" i="5"/>
  <c r="F24" i="5"/>
  <c r="H21" i="5"/>
  <c r="F25" i="5"/>
  <c r="H23" i="5"/>
  <c r="F22" i="5"/>
  <c r="H20" i="5"/>
  <c r="E25" i="5"/>
  <c r="K25" i="5" s="1"/>
  <c r="H27" i="5"/>
  <c r="F21" i="5"/>
  <c r="H19" i="5"/>
  <c r="H26" i="5"/>
  <c r="F20" i="5"/>
  <c r="E24" i="5"/>
  <c r="K24" i="5" s="1"/>
  <c r="E23" i="5"/>
  <c r="K23" i="5" s="1"/>
  <c r="F27" i="5"/>
  <c r="H25" i="5"/>
  <c r="F19" i="5"/>
  <c r="F26" i="5"/>
  <c r="E15" i="5"/>
  <c r="K15" i="5" s="1"/>
  <c r="E13" i="5"/>
  <c r="K13" i="5" s="1"/>
  <c r="E14" i="5"/>
  <c r="K14" i="5" s="1"/>
  <c r="E29" i="5"/>
  <c r="K29" i="5" s="1"/>
  <c r="E28" i="5"/>
  <c r="K28" i="5" s="1"/>
  <c r="E18" i="5"/>
  <c r="K18" i="5" s="1"/>
  <c r="E17" i="5"/>
  <c r="K17" i="5" s="1"/>
  <c r="F29" i="5"/>
  <c r="B32" i="5" a="1"/>
  <c r="B32" i="5" s="1"/>
  <c r="D32" i="5" a="1"/>
  <c r="D32" i="5" s="1"/>
  <c r="F32" i="5"/>
  <c r="F7" i="5"/>
  <c r="H18" i="5"/>
  <c r="H7" i="5"/>
  <c r="H8" i="5"/>
  <c r="H6" i="5"/>
  <c r="F8" i="5"/>
  <c r="F6" i="5"/>
  <c r="F28" i="5"/>
  <c r="F18" i="5"/>
  <c r="F15" i="5"/>
  <c r="F14" i="5"/>
  <c r="H28" i="5"/>
  <c r="H15" i="5"/>
  <c r="F17" i="5"/>
  <c r="H14" i="5"/>
  <c r="H16" i="5"/>
  <c r="F5" i="5"/>
  <c r="F16" i="5"/>
  <c r="H13" i="5"/>
  <c r="F12" i="5"/>
  <c r="H12" i="5"/>
  <c r="H10" i="5"/>
  <c r="F11" i="5"/>
  <c r="H11" i="5"/>
  <c r="F10" i="5"/>
  <c r="F13" i="5"/>
  <c r="F9" i="5"/>
  <c r="H5" i="5"/>
  <c r="H9" i="5"/>
  <c r="E8" i="5"/>
  <c r="K8" i="5" s="1"/>
  <c r="H17" i="5"/>
  <c r="E5" i="5"/>
  <c r="K5" i="5" s="1"/>
  <c r="E12" i="5"/>
  <c r="K12" i="5" s="1"/>
  <c r="E9" i="5"/>
  <c r="K9" i="5" s="1"/>
  <c r="E11" i="5"/>
  <c r="K11" i="5" s="1"/>
  <c r="E10" i="5"/>
  <c r="K10" i="5" s="1"/>
  <c r="E6" i="5"/>
  <c r="K6" i="5" s="1"/>
  <c r="E7" i="5"/>
  <c r="K7" i="5" s="1"/>
  <c r="L7" i="5" l="1"/>
  <c r="M7" i="5" s="1"/>
  <c r="L16" i="5"/>
  <c r="M16" i="5" s="1"/>
  <c r="L21" i="5"/>
  <c r="M21" i="5" s="1"/>
  <c r="L26" i="5"/>
  <c r="M26" i="5" s="1"/>
  <c r="L9" i="5"/>
  <c r="M9" i="5" s="1"/>
  <c r="L8" i="5"/>
  <c r="M8" i="5" s="1"/>
  <c r="L10" i="5"/>
  <c r="M10" i="5" s="1"/>
  <c r="L14" i="5"/>
  <c r="M14" i="5" s="1"/>
  <c r="L17" i="5"/>
  <c r="M17" i="5" s="1"/>
  <c r="L27" i="5"/>
  <c r="M27" i="5" s="1"/>
  <c r="L19" i="5"/>
  <c r="M19" i="5" s="1"/>
  <c r="L15" i="5"/>
  <c r="M15" i="5" s="1"/>
  <c r="L24" i="5"/>
  <c r="M24" i="5" s="1"/>
  <c r="L5" i="5"/>
  <c r="M5" i="5" s="1"/>
  <c r="L18" i="5"/>
  <c r="M18" i="5" s="1"/>
  <c r="L23" i="5"/>
  <c r="M23" i="5" s="1"/>
  <c r="L12" i="5"/>
  <c r="M12" i="5" s="1"/>
  <c r="L11" i="5"/>
  <c r="M11" i="5" s="1"/>
  <c r="L20" i="5"/>
  <c r="M20" i="5" s="1"/>
  <c r="L28" i="5"/>
  <c r="M28" i="5" s="1"/>
  <c r="L13" i="5"/>
  <c r="M13" i="5" s="1"/>
  <c r="L29" i="5"/>
  <c r="M29" i="5" s="1"/>
  <c r="L6" i="5"/>
  <c r="M6" i="5" s="1"/>
  <c r="L25" i="5"/>
  <c r="M25" i="5" s="1"/>
  <c r="L22" i="5"/>
  <c r="M22" i="5" s="1"/>
  <c r="A13" i="3"/>
  <c r="M32" i="5" l="1"/>
  <c r="M34" i="5" s="1"/>
  <c r="I32" i="5" l="1"/>
  <c r="F20" i="3" s="1"/>
  <c r="F25" i="3" s="1"/>
  <c r="F27" i="3" l="1"/>
  <c r="E34" i="5"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<sst xmlns="http://schemas.openxmlformats.org/spreadsheetml/2006/main" count="52" uniqueCount="51">
  <si>
    <t>Grundförderung</t>
  </si>
  <si>
    <t>ja</t>
  </si>
  <si>
    <t>Allgemeine Angaben</t>
  </si>
  <si>
    <t xml:space="preserve">Aktuelle Infos zur BEG-Förderung finden Sie immer unter: </t>
  </si>
  <si>
    <t>https://oekozentrum.nrw/beg/</t>
  </si>
  <si>
    <t>Legende:</t>
  </si>
  <si>
    <t>Eingabefelder</t>
  </si>
  <si>
    <t>Ergebnisfelder</t>
  </si>
  <si>
    <t>Höhe der Förderung für den Heizungstausch</t>
  </si>
  <si>
    <t>Wohngebäude</t>
  </si>
  <si>
    <t xml:space="preserve">Für wie viele Wohneinheiten ist der Einkommensbonus anwendbar? </t>
  </si>
  <si>
    <t>Wohneinheit Nr.</t>
  </si>
  <si>
    <t>maximale Förderquote</t>
  </si>
  <si>
    <t>Förderquote</t>
  </si>
  <si>
    <t>Förderbetrag</t>
  </si>
  <si>
    <t>Summe gesamtes Gebäude</t>
  </si>
  <si>
    <t>Förder-betrag</t>
  </si>
  <si>
    <t>Berechnung</t>
  </si>
  <si>
    <t>Boni</t>
  </si>
  <si>
    <t>Klimageschwindigkeit</t>
  </si>
  <si>
    <t>Einkommen</t>
  </si>
  <si>
    <t xml:space="preserve"> pro Wohneinheit</t>
  </si>
  <si>
    <r>
      <t xml:space="preserve">Einkommen </t>
    </r>
    <r>
      <rPr>
        <b/>
        <sz val="11"/>
        <color theme="1"/>
        <rFont val="ScalaSans"/>
        <family val="2"/>
      </rPr>
      <t>≤</t>
    </r>
    <r>
      <rPr>
        <b/>
        <sz val="11"/>
        <color theme="1"/>
        <rFont val="Calibri"/>
        <family val="2"/>
        <scheme val="minor"/>
      </rPr>
      <t xml:space="preserve"> 40.000 € ?</t>
    </r>
  </si>
  <si>
    <t>Effizienz (Wärmep.)</t>
  </si>
  <si>
    <t>Art des neuen Wärmeerzeugers</t>
  </si>
  <si>
    <t xml:space="preserve">Fördersatz gesamt (prozentual) </t>
  </si>
  <si>
    <t>Wohn-einheiten</t>
  </si>
  <si>
    <t>davon selbst-genutzt</t>
  </si>
  <si>
    <t xml:space="preserve"> mit Einkommens-Bonus </t>
  </si>
  <si>
    <t>Investitions-kosten</t>
  </si>
  <si>
    <t>Förder-satz</t>
  </si>
  <si>
    <t>selbstgenutzt?</t>
  </si>
  <si>
    <t>Emissionsminderungs-Zuschlag:</t>
  </si>
  <si>
    <t>Mögliche Förderung bei Antrag in (bitte Jahr wählen)</t>
  </si>
  <si>
    <t xml:space="preserve">*Hinweis: Kalkulation von Maßnahmen zum Heizungstausch inkl. Umfeldmaßnahmen. </t>
  </si>
  <si>
    <t>Förderrechner für den Heizungstausch ab 2024</t>
  </si>
  <si>
    <t xml:space="preserve">Mit diesem Rechner können Sie die Höhe des Zuschusses in der Bundesförderung effiziente Gebäude (BEG-EM) für den Austausch von Heizungsanlagen ab 2024 berechnen. Füllen Sie dazu die grünen Felder aus. </t>
  </si>
  <si>
    <t>Ist der Klimageschwindigkeits-Bonus anwendbar?</t>
  </si>
  <si>
    <t xml:space="preserve">Hinweis: Die maximale Förderquote beträgt 70 %. </t>
  </si>
  <si>
    <t>Förderfähige Ausgaben für den Heizungstausch</t>
  </si>
  <si>
    <t xml:space="preserve">Ausgaben für den Heizungstausch: </t>
  </si>
  <si>
    <t>Die Angaben basieren auf der BEG EM Richtlinie vom 21.12.2023, die am 29.12.2023 im Bundesanzeiger veröffentlicht wurde.</t>
  </si>
  <si>
    <t xml:space="preserve">Ab 2024 stehen für Effizienzmaßnahmen zusätzliche förderfähige Ausgaben zur Verfügung. Weitere Arbeiten (z.B. Dämmung, Fenstertausch) können mit 15% (ggf. +5 % iSFP-Bonus) zusätzlich gefördert werden. 
Die Förderung einer neuen Heizungsanlage kann jedoch NICHT mit der Einzelmaßnahme "Heizungsoptimierung" kombiniert werden. Hier gilt weiterhin, dass eine zu optimierende Heizungsanlage mindestens 2 Jahre alt sein muss (Ziffer 4.1 der Richtlinie BEG EM). </t>
  </si>
  <si>
    <t>Förderfähige Ausgaben</t>
  </si>
  <si>
    <t>angesetzte Ausgaben (tatsächliche bzw. max. förderfähige Ausgaben)</t>
  </si>
  <si>
    <t>Emissionsminderungs-Zuschlag (auf den Förderbetrag)</t>
  </si>
  <si>
    <t>Förderung Zwischensumme</t>
  </si>
  <si>
    <r>
      <t xml:space="preserve">Hinweis: </t>
    </r>
    <r>
      <rPr>
        <sz val="11"/>
        <color theme="1"/>
        <rFont val="Calibri"/>
        <family val="2"/>
        <scheme val="minor"/>
      </rPr>
      <t xml:space="preserve">Die Berechnung bildet unser derzeitiges Verständnis der Richtlinie ab. Details zum Emissionsminderungszuschlag bei Biomasseheizungen sowie zur Aufteilung der Ausgaben bei mehreren Wohneinheiten sind weiterhin unklar. Wir sind zunächst davon ausgegangen, dass die Ausgaben den betroffenen Wohneinheiten gleichmäßig und nicht entsprechend der Flächenanteile zugeordnet werden. </t>
    </r>
  </si>
  <si>
    <t xml:space="preserve">Hinweis: Die Berechnung bildet unser derzeitiges Verständnis der Richtlinie ab. Details zum Emissionsminderungszuschlag bei Biomasseheizungen sowie zur Aufteilung der Ausgaben bei mehreren Wohneinheiten sind weiterhin unklar. Wir sind zunächst davon ausgegangen, dass die Ausgaben den betroffenen Wohneinheiten gleichmäßig und nicht entsprechend der Flächenanteile zugeordnet werden. </t>
  </si>
  <si>
    <t>Förderfähige Ausgaben gesamt</t>
  </si>
  <si>
    <t>Wärmepumpe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</si>
</sst>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 &quot;€&quot;_-;\-* #,##0\ &quot;€&quot;_-;_-* &quot;-&quot;??\ &quot;€&quot;_-;_-@_-"/>
    <numFmt numFmtId="166" formatCode="#,##0\ &quot;€&quot;"/>
    <numFmt numFmtId="167" formatCode="_-* #,##0.0000_-;\-* #,##0.0000_-;_-* &quot;-&quot;??_-;_-@_-"/>
    <numFmt numFmtId="168" formatCode="#,##0.000\ &quot;€&quot;"/>
    <numFmt numFmtId="169" formatCode="0.0%"/>
  </numFmts>
  <fonts count="14">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
      <b/>
      <u/>
      <sz val="11"/>
      <color theme="10"/>
      <name val="Calibri"/>
      <family val="2"/>
      <scheme val="minor"/>
    </font>
    <font>
      <b/>
      <sz val="18"/>
      <color theme="1"/>
      <name val="Calibri"/>
      <family val="2"/>
      <scheme val="minor"/>
    </font>
    <font>
      <b/>
      <sz val="11"/>
      <color theme="1"/>
      <name val="ScalaSans"/>
      <family val="2"/>
    </font>
    <font>
      <b/>
      <sz val="12"/>
      <color rgb="FFFF0000"/>
      <name val="Calibri"/>
      <family val="2"/>
      <scheme val="minor"/>
    </font>
    <font>
      <b/>
      <sz val="16"/>
      <color rgb="FFFF0000"/>
      <name val="Calibri"/>
      <family val="2"/>
      <scheme val="minor"/>
    </font>
  </fonts>
  <fills count="8">
    <fill>
      <patternFill patternType="none"/>
    </fill>
    <fill>
      <patternFill patternType="gray125"/>
    </fill>
    <fill>
      <patternFill patternType="solid">
        <fgColor theme="9" tint="0.59996337778862885"/>
        <bgColor indexed="64"/>
      </patternFill>
    </fill>
    <fill>
      <patternFill patternType="solid">
        <fgColor theme="5" tint="0.599963377788628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uble">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6" fillId="0" borderId="0" applyNumberFormat="0" applyFill="0" applyBorder="0" applyAlignment="0" applyProtection="0"/>
    <xf numFmtId="164" fontId="1" fillId="0" borderId="0" applyFont="0" applyFill="0" applyBorder="0" applyAlignment="0" applyProtection="0"/>
  </cellStyleXfs>
  <cellXfs count="121">
    <xf numFmtId="0" fontId="0" fillId="0" borderId="0" xfId="0"/>
    <xf numFmtId="0" fontId="10" fillId="0" borderId="0" xfId="0" applyFont="1"/>
    <xf numFmtId="0" fontId="0" fillId="0" borderId="0" xfId="0" applyAlignment="1">
      <alignment vertical="top"/>
    </xf>
    <xf numFmtId="0" fontId="0" fillId="0" borderId="6" xfId="0" applyBorder="1"/>
    <xf numFmtId="0" fontId="8" fillId="0" borderId="0" xfId="0" applyFont="1" applyAlignment="1">
      <alignment horizontal="left" wrapText="1"/>
    </xf>
    <xf numFmtId="0" fontId="7" fillId="0" borderId="6" xfId="0" applyFont="1" applyBorder="1"/>
    <xf numFmtId="0" fontId="8" fillId="0" borderId="6" xfId="0" applyFont="1" applyBorder="1"/>
    <xf numFmtId="0" fontId="0" fillId="0" borderId="7" xfId="0" applyBorder="1"/>
    <xf numFmtId="0" fontId="7" fillId="0" borderId="0" xfId="0" applyFont="1"/>
    <xf numFmtId="0" fontId="5" fillId="0" borderId="0" xfId="0" applyFont="1" applyAlignment="1">
      <alignment horizontal="left" wrapText="1"/>
    </xf>
    <xf numFmtId="0" fontId="9" fillId="0" borderId="0" xfId="4" applyFont="1" applyFill="1" applyAlignment="1" applyProtection="1">
      <alignment horizontal="left"/>
    </xf>
    <xf numFmtId="0" fontId="7" fillId="0" borderId="0" xfId="0" applyFont="1" applyAlignment="1">
      <alignment horizontal="left"/>
    </xf>
    <xf numFmtId="166" fontId="0" fillId="0" borderId="0" xfId="0" applyNumberFormat="1"/>
    <xf numFmtId="0" fontId="0" fillId="0" borderId="0" xfId="0" applyAlignment="1">
      <alignment wrapText="1"/>
    </xf>
    <xf numFmtId="0" fontId="7" fillId="5" borderId="0" xfId="0" applyFont="1" applyFill="1" applyAlignment="1">
      <alignment horizontal="center" textRotation="90" wrapText="1"/>
    </xf>
    <xf numFmtId="0" fontId="7" fillId="5" borderId="7" xfId="0" applyFont="1" applyFill="1" applyBorder="1" applyAlignment="1">
      <alignment horizontal="center" textRotation="90" wrapText="1"/>
    </xf>
    <xf numFmtId="0" fontId="7" fillId="5" borderId="17" xfId="0" applyFont="1" applyFill="1" applyBorder="1" applyAlignment="1">
      <alignment textRotation="90" wrapText="1"/>
    </xf>
    <xf numFmtId="0" fontId="7" fillId="0" borderId="3" xfId="0" applyFont="1" applyBorder="1"/>
    <xf numFmtId="0" fontId="0" fillId="0" borderId="4" xfId="0" applyBorder="1"/>
    <xf numFmtId="167" fontId="0" fillId="0" borderId="0" xfId="0" applyNumberFormat="1"/>
    <xf numFmtId="168" fontId="0" fillId="0" borderId="0" xfId="0" applyNumberFormat="1"/>
    <xf numFmtId="0" fontId="2" fillId="2" borderId="0" xfId="5" applyNumberFormat="1" applyFont="1" applyFill="1" applyBorder="1" applyAlignment="1" applyProtection="1">
      <alignment horizontal="center"/>
      <protection locked="0"/>
    </xf>
    <xf numFmtId="0" fontId="7" fillId="5" borderId="21" xfId="0" applyFont="1" applyFill="1" applyBorder="1" applyAlignment="1">
      <alignment horizontal="center" wrapText="1"/>
    </xf>
    <xf numFmtId="166" fontId="0" fillId="6" borderId="3" xfId="0" applyNumberFormat="1" applyFill="1" applyBorder="1"/>
    <xf numFmtId="166" fontId="0" fillId="6" borderId="6" xfId="0" applyNumberFormat="1" applyFill="1" applyBorder="1"/>
    <xf numFmtId="166" fontId="0" fillId="6" borderId="8" xfId="0" applyNumberFormat="1" applyFill="1" applyBorder="1"/>
    <xf numFmtId="0" fontId="0" fillId="7" borderId="17" xfId="0" applyFill="1" applyBorder="1" applyAlignment="1">
      <alignment horizontal="center"/>
    </xf>
    <xf numFmtId="0" fontId="0" fillId="7" borderId="18" xfId="0" applyFill="1" applyBorder="1" applyAlignment="1">
      <alignment horizontal="center"/>
    </xf>
    <xf numFmtId="0" fontId="0" fillId="7" borderId="19" xfId="0" applyFill="1" applyBorder="1" applyAlignment="1">
      <alignment horizontal="center"/>
    </xf>
    <xf numFmtId="9" fontId="0" fillId="7" borderId="3" xfId="0" applyNumberFormat="1" applyFill="1" applyBorder="1" applyAlignment="1">
      <alignment horizontal="center"/>
    </xf>
    <xf numFmtId="9" fontId="0" fillId="7" borderId="17" xfId="0" applyNumberFormat="1" applyFill="1" applyBorder="1" applyAlignment="1">
      <alignment horizontal="center"/>
    </xf>
    <xf numFmtId="9" fontId="0" fillId="7" borderId="4" xfId="0" applyNumberFormat="1" applyFill="1" applyBorder="1" applyAlignment="1">
      <alignment horizontal="center"/>
    </xf>
    <xf numFmtId="9" fontId="0" fillId="7" borderId="6" xfId="0" applyNumberFormat="1" applyFill="1" applyBorder="1" applyAlignment="1">
      <alignment horizontal="center"/>
    </xf>
    <xf numFmtId="9" fontId="0" fillId="7" borderId="18" xfId="0" applyNumberFormat="1" applyFill="1" applyBorder="1" applyAlignment="1">
      <alignment horizontal="center"/>
    </xf>
    <xf numFmtId="9" fontId="0" fillId="7" borderId="0" xfId="0" applyNumberFormat="1" applyFill="1" applyAlignment="1">
      <alignment horizontal="center"/>
    </xf>
    <xf numFmtId="9" fontId="0" fillId="7" borderId="8" xfId="0" applyNumberFormat="1" applyFill="1" applyBorder="1" applyAlignment="1">
      <alignment horizontal="center"/>
    </xf>
    <xf numFmtId="9" fontId="0" fillId="7" borderId="19" xfId="0" applyNumberFormat="1" applyFill="1" applyBorder="1" applyAlignment="1">
      <alignment horizontal="center"/>
    </xf>
    <xf numFmtId="9" fontId="0" fillId="7" borderId="9" xfId="0" applyNumberFormat="1" applyFill="1" applyBorder="1" applyAlignment="1">
      <alignment horizontal="center"/>
    </xf>
    <xf numFmtId="166" fontId="7" fillId="6" borderId="21" xfId="0" applyNumberFormat="1" applyFont="1" applyFill="1" applyBorder="1" applyAlignment="1">
      <alignment horizontal="right" wrapText="1"/>
    </xf>
    <xf numFmtId="166" fontId="7" fillId="6" borderId="15" xfId="0" applyNumberFormat="1" applyFont="1" applyFill="1" applyBorder="1" applyAlignment="1">
      <alignment wrapText="1"/>
    </xf>
    <xf numFmtId="166" fontId="7" fillId="6" borderId="0" xfId="0" applyNumberFormat="1" applyFont="1" applyFill="1" applyAlignment="1">
      <alignment wrapText="1"/>
    </xf>
    <xf numFmtId="0" fontId="0" fillId="6" borderId="21" xfId="0" applyFill="1" applyBorder="1" applyAlignment="1">
      <alignment horizontal="center" wrapText="1"/>
    </xf>
    <xf numFmtId="0" fontId="7" fillId="5" borderId="17" xfId="0" applyFont="1" applyFill="1" applyBorder="1" applyAlignment="1">
      <alignment horizontal="center"/>
    </xf>
    <xf numFmtId="0" fontId="7" fillId="5" borderId="18" xfId="0" applyFont="1" applyFill="1" applyBorder="1" applyAlignment="1">
      <alignment horizontal="center"/>
    </xf>
    <xf numFmtId="0" fontId="7" fillId="5" borderId="19" xfId="0" applyFont="1" applyFill="1" applyBorder="1" applyAlignment="1">
      <alignment horizontal="center"/>
    </xf>
    <xf numFmtId="0" fontId="0" fillId="0" borderId="6" xfId="0" applyBorder="1" applyAlignment="1">
      <alignment horizontal="left"/>
    </xf>
    <xf numFmtId="9" fontId="0" fillId="6" borderId="17" xfId="1" applyFont="1" applyFill="1" applyBorder="1" applyAlignment="1">
      <alignment horizontal="center"/>
    </xf>
    <xf numFmtId="9" fontId="0" fillId="6" borderId="18" xfId="1" applyFont="1" applyFill="1" applyBorder="1" applyAlignment="1">
      <alignment horizontal="center"/>
    </xf>
    <xf numFmtId="9" fontId="0" fillId="6" borderId="19" xfId="1" applyFont="1" applyFill="1" applyBorder="1" applyAlignment="1">
      <alignment horizontal="center"/>
    </xf>
    <xf numFmtId="166" fontId="0" fillId="6" borderId="5" xfId="0" applyNumberFormat="1" applyFill="1" applyBorder="1"/>
    <xf numFmtId="166" fontId="0" fillId="6" borderId="7" xfId="0" applyNumberFormat="1" applyFill="1" applyBorder="1"/>
    <xf numFmtId="166" fontId="0" fillId="6" borderId="10" xfId="0" applyNumberFormat="1" applyFill="1" applyBorder="1"/>
    <xf numFmtId="0" fontId="2" fillId="2" borderId="5" xfId="2" applyBorder="1" applyAlignment="1" applyProtection="1">
      <alignment horizontal="center"/>
      <protection locked="0"/>
    </xf>
    <xf numFmtId="0" fontId="7" fillId="0" borderId="4" xfId="0" applyFont="1" applyBorder="1"/>
    <xf numFmtId="0" fontId="8" fillId="0" borderId="4" xfId="0" applyFont="1" applyBorder="1" applyAlignment="1">
      <alignment horizontal="left" wrapText="1"/>
    </xf>
    <xf numFmtId="0" fontId="0" fillId="0" borderId="3" xfId="0" applyBorder="1"/>
    <xf numFmtId="0" fontId="0" fillId="0" borderId="0" xfId="0" applyAlignment="1">
      <alignment horizontal="left" wrapText="1"/>
    </xf>
    <xf numFmtId="0" fontId="0" fillId="0" borderId="3" xfId="0" applyBorder="1" applyAlignment="1">
      <alignment horizontal="left" wrapText="1"/>
    </xf>
    <xf numFmtId="0" fontId="0" fillId="0" borderId="7" xfId="0" applyBorder="1" applyAlignment="1">
      <alignment horizontal="left" wrapText="1"/>
    </xf>
    <xf numFmtId="165" fontId="2" fillId="0" borderId="0" xfId="3" applyNumberFormat="1" applyFont="1" applyFill="1" applyBorder="1" applyAlignment="1" applyProtection="1">
      <alignment horizontal="center"/>
    </xf>
    <xf numFmtId="165" fontId="2" fillId="0" borderId="7" xfId="3" applyNumberFormat="1" applyFont="1" applyFill="1" applyBorder="1" applyAlignment="1" applyProtection="1">
      <alignment horizontal="center"/>
    </xf>
    <xf numFmtId="0" fontId="8" fillId="0" borderId="0" xfId="0" applyFont="1" applyAlignment="1">
      <alignment horizontal="left"/>
    </xf>
    <xf numFmtId="165" fontId="2" fillId="3" borderId="15" xfId="3" quotePrefix="1" applyNumberFormat="1" applyFont="1" applyBorder="1" applyAlignment="1" applyProtection="1">
      <alignment horizontal="right"/>
    </xf>
    <xf numFmtId="165" fontId="2" fillId="3" borderId="14" xfId="3" quotePrefix="1" applyNumberFormat="1" applyFont="1" applyBorder="1" applyAlignment="1" applyProtection="1">
      <alignment horizontal="right"/>
    </xf>
    <xf numFmtId="165" fontId="2" fillId="3" borderId="0" xfId="3" applyNumberFormat="1" applyFont="1" applyBorder="1" applyAlignment="1" applyProtection="1">
      <alignment horizontal="center"/>
    </xf>
    <xf numFmtId="165" fontId="2" fillId="3" borderId="7" xfId="3" applyNumberFormat="1" applyFont="1" applyBorder="1" applyAlignment="1" applyProtection="1">
      <alignment horizontal="center"/>
    </xf>
    <xf numFmtId="0" fontId="8" fillId="0" borderId="0" xfId="0" applyFont="1" applyAlignment="1">
      <alignment horizontal="left" vertical="top" wrapText="1"/>
    </xf>
    <xf numFmtId="0" fontId="2" fillId="3" borderId="0" xfId="3" applyFont="1" applyBorder="1" applyAlignment="1" applyProtection="1">
      <alignment horizontal="center"/>
    </xf>
    <xf numFmtId="0" fontId="2" fillId="2" borderId="0" xfId="2" applyBorder="1" applyAlignment="1" applyProtection="1">
      <alignment horizontal="center"/>
    </xf>
    <xf numFmtId="0" fontId="4" fillId="0" borderId="11" xfId="0" applyFont="1" applyBorder="1" applyAlignment="1">
      <alignment horizontal="left"/>
    </xf>
    <xf numFmtId="0" fontId="4" fillId="0" borderId="12" xfId="0" applyFont="1" applyBorder="1" applyAlignment="1">
      <alignment horizontal="left"/>
    </xf>
    <xf numFmtId="0" fontId="2" fillId="2" borderId="4" xfId="2" applyBorder="1" applyAlignment="1" applyProtection="1">
      <alignment horizontal="center"/>
      <protection locked="0"/>
    </xf>
    <xf numFmtId="0" fontId="2" fillId="2" borderId="5" xfId="2" applyBorder="1" applyAlignment="1" applyProtection="1">
      <alignment horizontal="center"/>
      <protection locked="0"/>
    </xf>
    <xf numFmtId="0" fontId="7" fillId="0" borderId="3" xfId="0" applyFont="1" applyBorder="1" applyAlignment="1">
      <alignment horizontal="left"/>
    </xf>
    <xf numFmtId="0" fontId="7" fillId="0" borderId="4" xfId="0" applyFont="1" applyBorder="1" applyAlignment="1">
      <alignment horizontal="left"/>
    </xf>
    <xf numFmtId="0" fontId="2" fillId="2" borderId="3" xfId="2" applyBorder="1" applyAlignment="1" applyProtection="1">
      <alignment horizontal="center"/>
      <protection locked="0"/>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0" fillId="0" borderId="0" xfId="0" applyAlignment="1">
      <alignment horizontal="left" wrapText="1"/>
    </xf>
    <xf numFmtId="0" fontId="0" fillId="0" borderId="8" xfId="0" applyBorder="1" applyAlignment="1">
      <alignment horizontal="left"/>
    </xf>
    <xf numFmtId="0" fontId="0" fillId="0" borderId="9" xfId="0" applyBorder="1" applyAlignment="1">
      <alignment horizontal="left"/>
    </xf>
    <xf numFmtId="165" fontId="2" fillId="2" borderId="9" xfId="2" applyNumberFormat="1" applyBorder="1" applyAlignment="1" applyProtection="1">
      <alignment horizontal="center"/>
      <protection locked="0"/>
    </xf>
    <xf numFmtId="165" fontId="2" fillId="2" borderId="10" xfId="2" applyNumberFormat="1" applyBorder="1" applyAlignment="1" applyProtection="1">
      <alignment horizontal="center"/>
      <protection locked="0"/>
    </xf>
    <xf numFmtId="0" fontId="0" fillId="0" borderId="0" xfId="0" applyAlignment="1">
      <alignment horizontal="right"/>
    </xf>
    <xf numFmtId="0" fontId="2" fillId="2" borderId="0" xfId="5" applyNumberFormat="1" applyFont="1" applyFill="1" applyBorder="1" applyAlignment="1" applyProtection="1">
      <alignment horizontal="center"/>
      <protection locked="0"/>
    </xf>
    <xf numFmtId="0" fontId="2" fillId="2" borderId="7" xfId="5" applyNumberFormat="1" applyFont="1" applyFill="1" applyBorder="1" applyAlignment="1" applyProtection="1">
      <alignment horizontal="center"/>
      <protection locked="0"/>
    </xf>
    <xf numFmtId="0" fontId="6" fillId="0" borderId="0" xfId="4" applyBorder="1" applyAlignment="1" applyProtection="1">
      <alignment horizontal="left" wrapText="1"/>
    </xf>
    <xf numFmtId="0" fontId="6" fillId="0" borderId="0" xfId="4" applyAlignment="1">
      <alignment wrapText="1"/>
    </xf>
    <xf numFmtId="0" fontId="5" fillId="0" borderId="0" xfId="0" applyFont="1" applyAlignment="1">
      <alignment horizontal="left" wrapText="1"/>
    </xf>
    <xf numFmtId="0" fontId="9" fillId="0" borderId="0" xfId="4" applyFont="1" applyFill="1" applyAlignment="1" applyProtection="1">
      <alignment horizontal="left"/>
    </xf>
    <xf numFmtId="0" fontId="7" fillId="0" borderId="0" xfId="0" applyFont="1" applyAlignment="1">
      <alignment horizontal="left"/>
    </xf>
    <xf numFmtId="0" fontId="6" fillId="0" borderId="0" xfId="4" applyAlignment="1">
      <alignment horizontal="left" vertical="top" wrapText="1"/>
    </xf>
    <xf numFmtId="1" fontId="4" fillId="4" borderId="12" xfId="0" applyNumberFormat="1" applyFont="1" applyFill="1" applyBorder="1" applyAlignment="1" applyProtection="1">
      <alignment horizontal="center"/>
      <protection locked="0"/>
    </xf>
    <xf numFmtId="1" fontId="4" fillId="4" borderId="13" xfId="0" applyNumberFormat="1" applyFont="1" applyFill="1" applyBorder="1" applyAlignment="1" applyProtection="1">
      <alignment horizontal="center"/>
      <protection locked="0"/>
    </xf>
    <xf numFmtId="169" fontId="2" fillId="3" borderId="4" xfId="3" applyNumberFormat="1" applyFont="1" applyBorder="1" applyAlignment="1" applyProtection="1">
      <alignment horizontal="center"/>
    </xf>
    <xf numFmtId="169" fontId="2" fillId="3" borderId="5" xfId="3" applyNumberFormat="1" applyFont="1" applyBorder="1" applyAlignment="1" applyProtection="1">
      <alignment horizontal="center"/>
    </xf>
    <xf numFmtId="0" fontId="0" fillId="0" borderId="20" xfId="0" applyBorder="1" applyAlignment="1">
      <alignment horizontal="right" wrapText="1"/>
    </xf>
    <xf numFmtId="0" fontId="7" fillId="0" borderId="0" xfId="0" applyFont="1" applyAlignment="1">
      <alignment horizontal="right" wrapText="1"/>
    </xf>
    <xf numFmtId="0" fontId="7" fillId="5" borderId="0" xfId="0" applyFont="1" applyFill="1" applyAlignment="1">
      <alignment horizontal="center"/>
    </xf>
    <xf numFmtId="0" fontId="7" fillId="5" borderId="21" xfId="0" applyFont="1" applyFill="1" applyBorder="1" applyAlignment="1">
      <alignment horizontal="center" wrapText="1"/>
    </xf>
    <xf numFmtId="10" fontId="0" fillId="6" borderId="21" xfId="1" applyNumberFormat="1" applyFont="1" applyFill="1" applyBorder="1" applyAlignment="1">
      <alignment horizontal="center"/>
    </xf>
    <xf numFmtId="166" fontId="0" fillId="6" borderId="21" xfId="0" applyNumberFormat="1" applyFill="1" applyBorder="1" applyAlignment="1">
      <alignment horizontal="center" wrapText="1"/>
    </xf>
    <xf numFmtId="0" fontId="0" fillId="6" borderId="16" xfId="0" applyFill="1" applyBorder="1" applyAlignment="1">
      <alignment horizontal="center" wrapText="1"/>
    </xf>
    <xf numFmtId="0" fontId="7" fillId="0" borderId="0" xfId="0" applyFont="1" applyAlignment="1">
      <alignment horizontal="left" wrapText="1"/>
    </xf>
    <xf numFmtId="0" fontId="12" fillId="0" borderId="9" xfId="0" applyFont="1" applyBorder="1" applyAlignment="1">
      <alignment horizontal="center"/>
    </xf>
    <xf numFmtId="0" fontId="10" fillId="0" borderId="9" xfId="0" applyFont="1" applyBorder="1" applyAlignment="1">
      <alignment horizontal="left"/>
    </xf>
    <xf numFmtId="0" fontId="13" fillId="0" borderId="0" xfId="0" applyFont="1" applyAlignment="1">
      <alignment horizontal="center" wrapText="1"/>
    </xf>
    <xf numFmtId="0" fontId="7" fillId="5" borderId="5" xfId="0" applyFont="1" applyFill="1" applyBorder="1" applyAlignment="1">
      <alignment horizontal="center" textRotation="90" wrapText="1"/>
    </xf>
    <xf numFmtId="0" fontId="7" fillId="5" borderId="7" xfId="0" applyFont="1" applyFill="1" applyBorder="1" applyAlignment="1">
      <alignment horizontal="center" textRotation="90" wrapText="1"/>
    </xf>
    <xf numFmtId="0" fontId="7" fillId="5" borderId="17" xfId="0" applyFont="1" applyFill="1" applyBorder="1" applyAlignment="1">
      <alignment horizontal="center" textRotation="90" wrapText="1"/>
    </xf>
    <xf numFmtId="0" fontId="7" fillId="5" borderId="18" xfId="0" applyFont="1" applyFill="1" applyBorder="1" applyAlignment="1">
      <alignment horizontal="center" textRotation="90" wrapText="1"/>
    </xf>
    <xf numFmtId="0" fontId="7" fillId="5" borderId="3" xfId="0" applyFont="1" applyFill="1" applyBorder="1" applyAlignment="1">
      <alignment horizontal="center" textRotation="90" wrapText="1"/>
    </xf>
    <xf numFmtId="0" fontId="7" fillId="5" borderId="6" xfId="0" applyFont="1" applyFill="1" applyBorder="1" applyAlignment="1">
      <alignment horizontal="center" textRotation="90" wrapText="1"/>
    </xf>
    <xf numFmtId="0" fontId="7" fillId="5" borderId="12" xfId="0" applyFont="1" applyFill="1" applyBorder="1" applyAlignment="1">
      <alignment horizontal="center"/>
    </xf>
    <xf numFmtId="0" fontId="7" fillId="5" borderId="13" xfId="0" applyFont="1" applyFill="1" applyBorder="1" applyAlignment="1">
      <alignment horizontal="center"/>
    </xf>
    <xf numFmtId="0" fontId="7" fillId="5" borderId="11" xfId="0" applyFont="1" applyFill="1" applyBorder="1" applyAlignment="1">
      <alignment horizontal="center" wrapText="1"/>
    </xf>
    <xf numFmtId="0" fontId="7" fillId="5" borderId="12" xfId="0" applyFont="1" applyFill="1" applyBorder="1" applyAlignment="1">
      <alignment horizontal="center" wrapText="1"/>
    </xf>
    <xf numFmtId="0" fontId="7" fillId="5" borderId="8" xfId="0" applyFont="1" applyFill="1" applyBorder="1" applyAlignment="1">
      <alignment horizontal="center" textRotation="90" wrapText="1"/>
    </xf>
  </cellXfs>
  <cellStyles count="6">
    <cellStyle name="Ausgabe" xfId="3" builtinId="21" customBuiltin="1"/>
    <cellStyle name="Eingabe" xfId="2" builtinId="20" customBuiltin="1"/>
    <cellStyle name="Komma" xfId="5" builtinId="3"/>
    <cellStyle name="Link" xfId="4" builtinId="8"/>
    <cellStyle name="Prozent" xfId="1" builtinId="5"/>
    <cellStyle name="Standard" xfId="0" builtinId="0"/>
  </cellStyles>
  <dxfs count="2">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iewechsel.de/KAENEF/Redaktion/DE/PDF-Anlagen/BEG/bundesfoerderung-f%C3%BCr-effiziente-gebaeude-einzelmassnahmen-20231229.pdf?__blob=publicationFile&amp;v=3" TargetMode="External"/><Relationship Id="rId2" Type="http://schemas.openxmlformats.org/officeDocument/2006/relationships/hyperlink" Target="https://www.bafa.de/DE/Energie/Effiziente_Gebaeude/effiziente_gebaeude_node.html" TargetMode="External"/><Relationship Id="rId1" Type="http://schemas.openxmlformats.org/officeDocument/2006/relationships/hyperlink" Target="https://oekozentrum.nrw/beg/"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C258-C9A9-4D1A-8912-113EA2C260F0}">
  <sheetPr codeName="Tabelle2"/>
  <dimension ref="A2:L42"/>
  <sheetViews>
    <sheetView tabSelected="1" view="pageLayout" zoomScale="160" zoomScaleNormal="130" zoomScalePageLayoutView="160" workbookViewId="0">
      <selection activeCell="F8" sqref="F8:G8"/>
    </sheetView>
  </sheetViews>
  <sheetFormatPr baseColWidth="10" defaultColWidth="11.42578125" defaultRowHeight="15"/>
  <cols>
    <col min="1" max="1" width="11.42578125" customWidth="1"/>
    <col min="2" max="3" width="14.7109375" customWidth="1"/>
    <col min="4" max="4" width="9.85546875" customWidth="1"/>
    <col min="5" max="5" width="9.5703125" customWidth="1"/>
    <col min="6" max="6" width="12.5703125" customWidth="1"/>
    <col min="7" max="7" width="14.7109375" customWidth="1"/>
    <col min="8" max="8" width="5.7109375" customWidth="1"/>
    <col min="9" max="9" width="2.85546875" customWidth="1"/>
    <col min="10" max="10" width="5.7109375" customWidth="1"/>
    <col min="11" max="12" width="10" customWidth="1"/>
    <col min="13" max="18" width="5.7109375" customWidth="1"/>
    <col min="19" max="19" width="12.28515625" customWidth="1"/>
  </cols>
  <sheetData>
    <row r="2" spans="1:7" ht="23.25">
      <c r="A2" s="1" t="s">
        <v>35</v>
      </c>
    </row>
    <row r="3" spans="1:7" ht="30" customHeight="1">
      <c r="A3" s="66" t="s">
        <v>36</v>
      </c>
      <c r="B3" s="66"/>
      <c r="C3" s="66"/>
      <c r="D3" s="66"/>
      <c r="E3" s="66"/>
      <c r="F3" s="66"/>
      <c r="G3" s="66"/>
    </row>
    <row r="4" spans="1:7" ht="8.4499999999999993" customHeight="1" thickBot="1">
      <c r="A4" s="2"/>
    </row>
    <row r="5" spans="1:7" ht="15.75" thickBot="1">
      <c r="A5" s="73" t="s">
        <v>2</v>
      </c>
      <c r="B5" s="74"/>
      <c r="C5" s="18"/>
      <c r="D5" s="18"/>
      <c r="E5" s="18"/>
      <c r="F5" s="75" t="s">
        <v>9</v>
      </c>
      <c r="G5" s="72"/>
    </row>
    <row r="6" spans="1:7">
      <c r="A6" s="55" t="s">
        <v>24</v>
      </c>
      <c r="B6" s="18"/>
      <c r="C6" s="18"/>
      <c r="D6" s="18"/>
      <c r="E6" s="18"/>
      <c r="F6" s="71" t="s">
        <v>50</v>
      </c>
      <c r="G6" s="72"/>
    </row>
    <row r="7" spans="1:7">
      <c r="A7" s="3" t="str">
        <f>IF(F5="Wohngebäude","Anzahl der Wohneinheiten:","Nettogrundfläche NGF [m²]")</f>
        <v>Anzahl der Wohneinheiten:</v>
      </c>
      <c r="C7" s="21">
        <v>8</v>
      </c>
      <c r="D7" s="86" t="str">
        <f>IF(F5="Wohngebäude","davon selbstgenutzt:","")</f>
        <v>davon selbstgenutzt:</v>
      </c>
      <c r="E7" s="86"/>
      <c r="F7" s="87">
        <v>4</v>
      </c>
      <c r="G7" s="88"/>
    </row>
    <row r="8" spans="1:7" ht="15.75" thickBot="1">
      <c r="A8" s="82" t="s">
        <v>40</v>
      </c>
      <c r="B8" s="83"/>
      <c r="C8" s="83"/>
      <c r="D8" s="83"/>
      <c r="E8" s="83"/>
      <c r="F8" s="84">
        <v>60000</v>
      </c>
      <c r="G8" s="85"/>
    </row>
    <row r="9" spans="1:7" ht="8.4499999999999993" customHeight="1" thickBot="1"/>
    <row r="10" spans="1:7">
      <c r="A10" s="17" t="s">
        <v>37</v>
      </c>
      <c r="B10" s="53"/>
      <c r="C10" s="53"/>
      <c r="D10" s="53"/>
      <c r="E10" s="53"/>
      <c r="F10" s="18"/>
      <c r="G10" s="52" t="s">
        <v>1</v>
      </c>
    </row>
    <row r="11" spans="1:7" ht="60" customHeight="1" thickBot="1">
      <c r="A11" s="78" t="str">
        <f>IF(F5="Wohngebäude","Beim Ersatz von funktionierenden Öl-, Gasetagen-, Gaszentral-, Kohle- oder Nachtspeicherheizungen wird ein 'Klimageschwindigkeits-Bonus' gewährt."&amp;" Dies gilt auch für Gas- und Biomasseheizungen, die mindestens 20 Jahre alt sind. Der Bonus wird nur für selbstgenutzte Wohneinheiten gewährt und liegt bis 2028 bei 20 %. Danach wird er alle zwei Jahre um 3 Prozentpunkte reduziert."&amp;" ","Dieser Bonus ist bei Nichtwohngebäuden nicht anwendbar.")</f>
        <v xml:space="preserve">Beim Ersatz von funktionierenden Öl-, Gasetagen-, Gaszentral-, Kohle- oder Nachtspeicherheizungen wird ein 'Klimageschwindigkeits-Bonus' gewährt. Dies gilt auch für Gas- und Biomasseheizungen, die mindestens 20 Jahre alt sind. Der Bonus wird nur für selbstgenutzte Wohneinheiten gewährt und liegt bis 2028 bei 20 %. Danach wird er alle zwei Jahre um 3 Prozentpunkte reduziert. </v>
      </c>
      <c r="B11" s="79"/>
      <c r="C11" s="79"/>
      <c r="D11" s="79"/>
      <c r="E11" s="79"/>
      <c r="F11" s="79"/>
      <c r="G11" s="80"/>
    </row>
    <row r="12" spans="1:7" ht="8.4499999999999993" customHeight="1" thickBot="1">
      <c r="A12" s="54"/>
      <c r="B12" s="4"/>
      <c r="C12" s="4"/>
      <c r="D12" s="4"/>
      <c r="E12" s="4"/>
      <c r="F12" s="4"/>
      <c r="G12" s="4"/>
    </row>
    <row r="13" spans="1:7">
      <c r="A13" s="73" t="str">
        <f>IF(F6="Biomasseheizung","Ist der Emmissionsminderungs-Zuschlag anwendbar?","Ist der Effizienzbonus anwendbar?")</f>
        <v>Ist der Effizienzbonus anwendbar?</v>
      </c>
      <c r="B13" s="74"/>
      <c r="C13" s="74"/>
      <c r="D13" s="74"/>
      <c r="E13" s="74"/>
      <c r="F13" s="74"/>
      <c r="G13" s="52" t="s">
        <v>1</v>
      </c>
    </row>
    <row r="14" spans="1:7" ht="30" customHeight="1" thickBot="1">
      <c r="A14" s="78" t="str">
        <f>IF(F6="Biomasseheizung", "2.500 € extra Förderung bei Errichtung von Biomasseheizungen mit nachweislich geringeren Staub-Emissionen als 2,5 mg/m³.","5 % Bonus für die Nutzung von natürlichen Kältemitteln oder Erd-, Wasser- oder Abwasserwärme bei Wärmepumpen.")</f>
        <v>5 % Bonus für die Nutzung von natürlichen Kältemitteln oder Erd-, Wasser- oder Abwasserwärme bei Wärmepumpen.</v>
      </c>
      <c r="B14" s="79"/>
      <c r="C14" s="79"/>
      <c r="D14" s="79"/>
      <c r="E14" s="79"/>
      <c r="F14" s="79"/>
      <c r="G14" s="80"/>
    </row>
    <row r="15" spans="1:7" ht="8.4499999999999993" customHeight="1" thickBot="1">
      <c r="A15" s="57"/>
      <c r="B15" s="56"/>
      <c r="C15" s="56"/>
      <c r="D15" s="56"/>
      <c r="E15" s="56"/>
      <c r="F15" s="56"/>
      <c r="G15" s="58"/>
    </row>
    <row r="16" spans="1:7">
      <c r="A16" s="17" t="s">
        <v>10</v>
      </c>
      <c r="B16" s="53"/>
      <c r="C16" s="53"/>
      <c r="D16" s="53"/>
      <c r="E16" s="53"/>
      <c r="F16" s="18"/>
      <c r="G16" s="52">
        <v>0</v>
      </c>
    </row>
    <row r="17" spans="1:12" ht="29.45" customHeight="1" thickBot="1">
      <c r="A17" s="78" t="str">
        <f>IF(F5="Wohngebäude","Einkommensbonus von zusätzlich 30 % für selbstgenutzte Wohneinheiten bei einem zu versteuernden Haushaltseinkommen von bis zu 40.000 €.","Dieser Bonus ist für Nichtwohngebäude nicht anwendbar.")</f>
        <v>Einkommensbonus von zusätzlich 30 % für selbstgenutzte Wohneinheiten bei einem zu versteuernden Haushaltseinkommen von bis zu 40.000 €.</v>
      </c>
      <c r="B17" s="79"/>
      <c r="C17" s="79"/>
      <c r="D17" s="79"/>
      <c r="E17" s="79"/>
      <c r="F17" s="79"/>
      <c r="G17" s="80"/>
    </row>
    <row r="18" spans="1:12" ht="8.4499999999999993" customHeight="1" thickBot="1">
      <c r="A18" s="3"/>
      <c r="G18" s="7"/>
    </row>
    <row r="19" spans="1:12" ht="19.5" thickBot="1">
      <c r="A19" s="69" t="s">
        <v>33</v>
      </c>
      <c r="B19" s="70"/>
      <c r="C19" s="70"/>
      <c r="D19" s="70"/>
      <c r="E19" s="70"/>
      <c r="F19" s="95">
        <v>2024</v>
      </c>
      <c r="G19" s="96"/>
      <c r="K19" s="19"/>
    </row>
    <row r="20" spans="1:12">
      <c r="A20" s="17" t="s">
        <v>25</v>
      </c>
      <c r="B20" s="18"/>
      <c r="C20" s="18"/>
      <c r="D20" s="18"/>
      <c r="E20" s="18"/>
      <c r="F20" s="97">
        <f>IF(F5="Wohngebäude",'Übersicht Wohngebäude'!I32,MIN(IF(AND($G$13="ja",$F$6="Wärmepumpe"),0.05,0)+0.3,0.7))</f>
        <v>0.45</v>
      </c>
      <c r="G20" s="98"/>
      <c r="K20" s="19"/>
    </row>
    <row r="21" spans="1:12">
      <c r="A21" s="6" t="s">
        <v>38</v>
      </c>
      <c r="G21" s="7"/>
    </row>
    <row r="22" spans="1:12" ht="8.4499999999999993" customHeight="1">
      <c r="A22" s="6"/>
      <c r="G22" s="7"/>
    </row>
    <row r="23" spans="1:12">
      <c r="A23" s="5" t="s">
        <v>39</v>
      </c>
      <c r="F23" s="64">
        <f>IF(F5="Wohngebäude",IF(C7&lt;7,30000+IF(AND(C7&lt;7,C7&gt;1),(C7-1)*15000),30000+5*15000+(C7-6)*8000),IF(C7&lt;=150,30000,0)+IF(Förderrechner_neu!C7&gt;150,IF(Förderrechner_neu!C7&lt;=1000,IF(Förderrechner_neu!C7&lt;=400,200*C7,120*(C7-400)+200*400),80*(C7-1000)+120*(600)+200*400),0))</f>
        <v>121000</v>
      </c>
      <c r="G23" s="65"/>
    </row>
    <row r="24" spans="1:12">
      <c r="A24" s="5"/>
      <c r="F24" s="59"/>
      <c r="G24" s="60"/>
    </row>
    <row r="25" spans="1:12">
      <c r="A25" s="5" t="s">
        <v>46</v>
      </c>
      <c r="F25" s="64">
        <f>IF(F8&lt;=F23,F8,F23)*F20</f>
        <v>27000</v>
      </c>
      <c r="G25" s="65"/>
    </row>
    <row r="26" spans="1:12" ht="15.75" thickBot="1">
      <c r="A26" s="45" t="s">
        <v>45</v>
      </c>
      <c r="B26" s="61"/>
      <c r="C26" s="61"/>
      <c r="D26" s="61"/>
      <c r="E26" s="61"/>
      <c r="F26" s="62">
        <f>IF(AND(F6="Biomasseheizung",G13="ja"),2500,0)</f>
        <v>0</v>
      </c>
      <c r="G26" s="63"/>
    </row>
    <row r="27" spans="1:12" ht="15.75" thickTop="1">
      <c r="A27" s="5" t="s">
        <v>8</v>
      </c>
      <c r="F27" s="64">
        <f>IF(F8&lt;=F23,F8,F23)*F20+F26</f>
        <v>27000</v>
      </c>
      <c r="G27" s="65"/>
      <c r="K27" s="12"/>
      <c r="L27" s="12"/>
    </row>
    <row r="28" spans="1:12" ht="8.4499999999999993" customHeight="1">
      <c r="A28" s="6"/>
      <c r="G28" s="7"/>
    </row>
    <row r="29" spans="1:12" ht="51.75" customHeight="1">
      <c r="A29" s="76" t="s">
        <v>42</v>
      </c>
      <c r="B29" s="66"/>
      <c r="C29" s="66"/>
      <c r="D29" s="66"/>
      <c r="E29" s="66"/>
      <c r="F29" s="66"/>
      <c r="G29" s="77"/>
    </row>
    <row r="30" spans="1:12">
      <c r="A30" s="76"/>
      <c r="B30" s="66"/>
      <c r="C30" s="66"/>
      <c r="D30" s="66"/>
      <c r="E30" s="66"/>
      <c r="F30" s="66"/>
      <c r="G30" s="77"/>
    </row>
    <row r="31" spans="1:12" ht="8.4499999999999993" customHeight="1">
      <c r="A31" s="76"/>
      <c r="B31" s="66"/>
      <c r="C31" s="66"/>
      <c r="D31" s="66"/>
      <c r="E31" s="66"/>
      <c r="F31" s="66"/>
      <c r="G31" s="77"/>
    </row>
    <row r="32" spans="1:12" ht="15" customHeight="1" thickBot="1">
      <c r="A32" s="78"/>
      <c r="B32" s="79"/>
      <c r="C32" s="79"/>
      <c r="D32" s="79"/>
      <c r="E32" s="79"/>
      <c r="F32" s="79"/>
      <c r="G32" s="80"/>
    </row>
    <row r="34" spans="1:7" ht="15.6" customHeight="1">
      <c r="A34" s="91" t="s">
        <v>3</v>
      </c>
      <c r="B34" s="91"/>
      <c r="C34" s="91"/>
      <c r="D34" s="91"/>
      <c r="E34" s="91"/>
      <c r="F34" s="92" t="s">
        <v>4</v>
      </c>
      <c r="G34" s="93"/>
    </row>
    <row r="35" spans="1:7" ht="8.4499999999999993" customHeight="1">
      <c r="A35" s="9"/>
      <c r="B35" s="9"/>
      <c r="C35" s="9"/>
      <c r="D35" s="9"/>
      <c r="E35" s="9"/>
      <c r="F35" s="10"/>
      <c r="G35" s="11"/>
    </row>
    <row r="36" spans="1:7">
      <c r="A36" s="8" t="s">
        <v>5</v>
      </c>
      <c r="B36" s="68" t="s">
        <v>6</v>
      </c>
      <c r="C36" s="68"/>
      <c r="E36" s="67" t="s">
        <v>7</v>
      </c>
      <c r="F36" s="67"/>
    </row>
    <row r="37" spans="1:7" ht="8.4499999999999993" customHeight="1"/>
    <row r="38" spans="1:7">
      <c r="A38" s="94" t="s">
        <v>34</v>
      </c>
      <c r="B38" s="94"/>
      <c r="C38" s="94"/>
      <c r="D38" s="94"/>
      <c r="E38" s="94"/>
      <c r="F38" s="94"/>
      <c r="G38" s="94"/>
    </row>
    <row r="39" spans="1:7" ht="30" hidden="1" customHeight="1">
      <c r="A39" s="89"/>
      <c r="B39" s="89"/>
      <c r="C39" s="89"/>
      <c r="D39" s="89"/>
      <c r="E39" s="89"/>
      <c r="F39" s="89"/>
      <c r="G39" s="89"/>
    </row>
    <row r="40" spans="1:7" ht="30" customHeight="1">
      <c r="A40" s="90" t="s">
        <v>41</v>
      </c>
      <c r="B40" s="90"/>
      <c r="C40" s="90"/>
      <c r="D40" s="90"/>
      <c r="E40" s="90"/>
      <c r="F40" s="90"/>
      <c r="G40" s="90"/>
    </row>
    <row r="42" spans="1:7" ht="60" customHeight="1">
      <c r="A42" s="81" t="s">
        <v>48</v>
      </c>
      <c r="B42" s="81"/>
      <c r="C42" s="81"/>
      <c r="D42" s="81"/>
      <c r="E42" s="81"/>
      <c r="F42" s="81"/>
      <c r="G42" s="81"/>
    </row>
  </sheetData>
  <sheetProtection algorithmName="SHA-512" hashValue="hZA5F4FYKpP30tVilI7eXwxZkZM2JoRGtuLgX7CA2DIuOi/GdtqjINXbIklovf+VTpDJK81Uk87tqpcSsdFaNg==" saltValue="VrXauG0rZPDGu6KzzIqvZg==" spinCount="100000" sheet="1" selectLockedCells="1"/>
  <mergeCells count="28">
    <mergeCell ref="A42:G42"/>
    <mergeCell ref="A8:E8"/>
    <mergeCell ref="F8:G8"/>
    <mergeCell ref="D7:E7"/>
    <mergeCell ref="F7:G7"/>
    <mergeCell ref="A39:G39"/>
    <mergeCell ref="A40:G40"/>
    <mergeCell ref="A34:E34"/>
    <mergeCell ref="F34:G34"/>
    <mergeCell ref="A11:G11"/>
    <mergeCell ref="A14:G14"/>
    <mergeCell ref="A17:G17"/>
    <mergeCell ref="A38:G38"/>
    <mergeCell ref="F19:G19"/>
    <mergeCell ref="F20:G20"/>
    <mergeCell ref="F23:G23"/>
    <mergeCell ref="F26:G26"/>
    <mergeCell ref="F27:G27"/>
    <mergeCell ref="A3:G3"/>
    <mergeCell ref="E36:F36"/>
    <mergeCell ref="B36:C36"/>
    <mergeCell ref="A19:E19"/>
    <mergeCell ref="F6:G6"/>
    <mergeCell ref="A5:B5"/>
    <mergeCell ref="F5:G5"/>
    <mergeCell ref="A13:F13"/>
    <mergeCell ref="A29:G32"/>
    <mergeCell ref="F25:G25"/>
  </mergeCells>
  <conditionalFormatting sqref="A25:F25 A26:G26">
    <cfRule type="expression" dxfId="1" priority="2">
      <formula>($F$6&lt;&gt;"Biomasseheizung")</formula>
    </cfRule>
  </conditionalFormatting>
  <conditionalFormatting sqref="F7 G16">
    <cfRule type="expression" dxfId="0" priority="1">
      <formula>($F$5="Nichtwohngebäude")</formula>
    </cfRule>
  </conditionalFormatting>
  <dataValidations count="8">
    <dataValidation type="list" allowBlank="1" showInputMessage="1" showErrorMessage="1" sqref="F5:G5" xr:uid="{ACA5B85D-1A80-491B-B409-BB700AAD0C2D}">
      <formula1>"Wohngebäude, Nichtwohngebäude"</formula1>
    </dataValidation>
    <dataValidation type="whole" operator="greaterThanOrEqual" allowBlank="1" showInputMessage="1" showErrorMessage="1" sqref="C7" xr:uid="{CBDBEAC6-60B7-419F-8CF2-BC58C36FD0EC}">
      <formula1>1</formula1>
    </dataValidation>
    <dataValidation type="list" allowBlank="1" showInputMessage="1" showErrorMessage="1" sqref="F19" xr:uid="{2CE4BEDB-C10C-4674-B8DE-A73E6DA381F7}">
      <formula1>"2024,2025,2026,2027,2028,2029,2030,2031,2032,2033,2034,2034,2035,2036"</formula1>
    </dataValidation>
    <dataValidation type="whole" operator="lessThanOrEqual" allowBlank="1" showInputMessage="1" showErrorMessage="1" sqref="F7" xr:uid="{F4F11841-B76B-45FB-9794-B5ECD91945EC}">
      <formula1>C7</formula1>
    </dataValidation>
    <dataValidation type="list" allowBlank="1" showInputMessage="1" showErrorMessage="1" sqref="B18" xr:uid="{D066E12D-CB3F-4A12-BDC2-454D4F08A48B}">
      <formula1>#REF!</formula1>
    </dataValidation>
    <dataValidation type="list" allowBlank="1" showInputMessage="1" showErrorMessage="1" sqref="F6:G6" xr:uid="{33A7E6AC-6FA8-42CF-A658-D0DF1E54D707}">
      <formula1>"Biomasseheizung, Wärmepumpe, Brennstoffzellenheizung, Innovative Heizungstechnik, Anschluss an ein Wärmenetz, Anschluss an ein Gebäudenetz, Solarkollektoranlagen"</formula1>
    </dataValidation>
    <dataValidation type="whole" operator="lessThanOrEqual" allowBlank="1" showInputMessage="1" showErrorMessage="1" sqref="G16" xr:uid="{8A77D4D1-285A-4EF3-9EC1-7340F27917CA}">
      <formula1>F7</formula1>
    </dataValidation>
    <dataValidation type="list" allowBlank="1" showInputMessage="1" showErrorMessage="1" sqref="G10 G13" xr:uid="{04F6A4A2-BAEA-428A-AEFB-AAC88995C3D1}">
      <formula1>"ja,nein"</formula1>
    </dataValidation>
  </dataValidations>
  <hyperlinks>
    <hyperlink ref="F34" r:id="rId1" xr:uid="{F33B1094-3769-425C-9004-4A1922BCBA5A}"/>
    <hyperlink ref="A38:G38" r:id="rId2" display="Hinweis: Kalkulation von Einzelmaßnahmen(EM) zum Heizungstausch. Sind die förderfähigen Kosten ausgeschöpft, werden Umfeldmaßnahmen ab 2024 als EM &quot;Heizungsoptimierung&quot; berücksichtigt.  " xr:uid="{08D2EA05-21E1-4BA1-84DD-8E6F84685CB5}"/>
    <hyperlink ref="A40:G40" r:id="rId3" display="Die Angaben basieren auf der BEG EM Richtlinie vom 21.12.2023, die am 29.12.2023 im Bundesanzeiger veröffentlicht wurde." xr:uid="{B71584FD-20EB-4C9E-94F2-F33F9B7286E2}"/>
  </hyperlinks>
  <pageMargins left="0.58876811594202894" right="0.58876811594202894" top="0.78740157499999996" bottom="0.78740157499999996" header="0.3" footer="0.3"/>
  <pageSetup paperSize="9" orientation="portrait" r:id="rId4"/>
  <headerFooter>
    <oddHeader>&amp;L&amp;10Version 3.0 - Stand 15.01.2024&amp;R&amp;G</oddHeader>
    <oddFooter xml:space="preserve">&amp;L&amp;8© Öko-Zentrum NRW GmbH, 01/2024 - Alle Rechte vorbehalten. Für die Berechnungsergebnisse wird keine Haftung übernommen.
</oddFoot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415A-13A7-4B1A-8F87-BE3F25041F2D}">
  <sheetPr codeName="Tabelle3"/>
  <dimension ref="A1:N37"/>
  <sheetViews>
    <sheetView view="pageLayout" zoomScale="160" zoomScaleNormal="100" zoomScalePageLayoutView="160" workbookViewId="0">
      <selection activeCell="D5" sqref="D5"/>
    </sheetView>
  </sheetViews>
  <sheetFormatPr baseColWidth="10" defaultRowHeight="15"/>
  <cols>
    <col min="1" max="1" width="9.5703125" customWidth="1"/>
    <col min="2" max="3" width="5.7109375" customWidth="1"/>
    <col min="4" max="4" width="8.7109375" customWidth="1"/>
    <col min="5" max="5" width="10.28515625" customWidth="1"/>
    <col min="6" max="10" width="4.7109375" customWidth="1"/>
    <col min="11" max="11" width="8.7109375" customWidth="1"/>
    <col min="12" max="12" width="4.7109375" customWidth="1"/>
    <col min="13" max="13" width="9.5703125" customWidth="1"/>
  </cols>
  <sheetData>
    <row r="1" spans="1:14" ht="23.25">
      <c r="A1" s="1" t="str">
        <f>"Übersicht der möglichen Förderung "&amp;Förderrechner_neu!F19&amp;" für Wohngebäude"</f>
        <v>Übersicht der möglichen Förderung 2024 für Wohngebäude</v>
      </c>
    </row>
    <row r="2" spans="1:14" ht="24" thickBot="1">
      <c r="A2" s="108" t="str">
        <f>Förderrechner_neu!F6</f>
        <v>Wärmepumpe</v>
      </c>
      <c r="B2" s="108"/>
      <c r="C2" s="108"/>
      <c r="D2" s="108"/>
      <c r="E2" s="108"/>
      <c r="F2" s="108"/>
      <c r="G2" s="108"/>
      <c r="H2" s="107" t="str">
        <f>IF(Förderrechner_neu!F5="Nichtwohngebäude","Achtung! Nichtwohngebäude gewählt!",IF(Förderrechner_neu!C7&gt;25,"Nicht alle Wohneinheiten abbildbar!",""))</f>
        <v/>
      </c>
      <c r="I2" s="107"/>
      <c r="J2" s="107"/>
      <c r="K2" s="107"/>
      <c r="L2" s="107"/>
      <c r="M2" s="107"/>
    </row>
    <row r="3" spans="1:14" ht="15.75" customHeight="1" thickBot="1">
      <c r="A3" s="114" t="s">
        <v>11</v>
      </c>
      <c r="B3" s="112" t="s">
        <v>31</v>
      </c>
      <c r="C3" s="112" t="s">
        <v>22</v>
      </c>
      <c r="D3" s="116" t="s">
        <v>43</v>
      </c>
      <c r="E3" s="117"/>
      <c r="F3" s="114" t="s">
        <v>0</v>
      </c>
      <c r="G3" s="118" t="s">
        <v>18</v>
      </c>
      <c r="H3" s="119"/>
      <c r="I3" s="119"/>
      <c r="J3" s="112" t="s">
        <v>12</v>
      </c>
      <c r="K3" s="112" t="s">
        <v>44</v>
      </c>
      <c r="L3" s="112" t="s">
        <v>13</v>
      </c>
      <c r="M3" s="110" t="s">
        <v>14</v>
      </c>
    </row>
    <row r="4" spans="1:14" ht="109.5" customHeight="1" thickBot="1">
      <c r="A4" s="120"/>
      <c r="B4" s="113"/>
      <c r="C4" s="113"/>
      <c r="D4" s="15" t="s">
        <v>17</v>
      </c>
      <c r="E4" s="14" t="s">
        <v>21</v>
      </c>
      <c r="F4" s="115"/>
      <c r="G4" s="16" t="s">
        <v>19</v>
      </c>
      <c r="H4" s="16" t="s">
        <v>23</v>
      </c>
      <c r="I4" s="16" t="s">
        <v>20</v>
      </c>
      <c r="J4" s="113"/>
      <c r="K4" s="113"/>
      <c r="L4" s="113"/>
      <c r="M4" s="111"/>
    </row>
    <row r="5" spans="1:14">
      <c r="A5" s="42">
        <v>1</v>
      </c>
      <c r="B5" s="26" t="str">
        <f>IF(Förderrechner_neu!$F$7&gt;=A5,"x","")</f>
        <v>x</v>
      </c>
      <c r="C5" s="26" t="str">
        <f>IF(Förderrechner_neu!$G$16&gt;=A5,"x","")</f>
        <v/>
      </c>
      <c r="D5" s="23">
        <f>IF(Förderrechner_neu!$C$7&gt;=A5,30000,"")</f>
        <v>30000</v>
      </c>
      <c r="E5" s="23">
        <f t="shared" ref="E5:E18" si="0">IF(D5&lt;&gt;"",SUM($D$5:$D$29)/COUNT($D$5:$D$29),"")</f>
        <v>15125</v>
      </c>
      <c r="F5" s="29">
        <f>IF(D5&lt;&gt;"",30%,"")</f>
        <v>0.3</v>
      </c>
      <c r="G5" s="30">
        <f>IF(AND(D5&lt;&gt;"",Förderrechner_neu!$G$10="ja",B5&lt;&gt;""),IF(Förderrechner_neu!$F$19&lt;2029,20%,IF(Förderrechner_neu!$F$19&lt;2031,17%,IF(Förderrechner_neu!$F$19&lt;2033,14%,IF(Förderrechner_neu!F$19&lt;2035,11%,8%)))),"")</f>
        <v>0.2</v>
      </c>
      <c r="H5" s="31">
        <f>IF(AND(D5&lt;&gt;"",Förderrechner_neu!$G$13="ja",Förderrechner_neu!$F$6="Wärmepumpe"),5%,"")</f>
        <v>0.05</v>
      </c>
      <c r="I5" s="29" t="str">
        <f>IF(C5&lt;&gt;"",30%,"")</f>
        <v/>
      </c>
      <c r="J5" s="30">
        <f>IF(D5&lt;&gt;"",IF(B5&lt;&gt;"",70%,70%),"")</f>
        <v>0.7</v>
      </c>
      <c r="K5" s="23">
        <f>IF(E5&lt;&gt;"",MIN(E5,(Förderrechner_neu!$F$8/Förderrechner_neu!$C$7)),"")</f>
        <v>7500</v>
      </c>
      <c r="L5" s="46">
        <f>IF(J5="","",MIN(J5,SUM(F5:I5)))</f>
        <v>0.55000000000000004</v>
      </c>
      <c r="M5" s="49">
        <f>IFERROR(K5*L5,"")</f>
        <v>4125</v>
      </c>
      <c r="N5" s="12"/>
    </row>
    <row r="6" spans="1:14">
      <c r="A6" s="43">
        <v>2</v>
      </c>
      <c r="B6" s="27" t="str">
        <f>IF(Förderrechner_neu!$F$7&gt;=A6,"x","")</f>
        <v>x</v>
      </c>
      <c r="C6" s="27" t="str">
        <f>IF(Förderrechner_neu!$G$16&gt;=A6,"x","")</f>
        <v/>
      </c>
      <c r="D6" s="24">
        <f>IF(Förderrechner_neu!$C$7&gt;=A6,15000,"")</f>
        <v>15000</v>
      </c>
      <c r="E6" s="24">
        <f t="shared" si="0"/>
        <v>15125</v>
      </c>
      <c r="F6" s="32">
        <f t="shared" ref="F6:F29" si="1">IF(D6&lt;&gt;"",30%,"")</f>
        <v>0.3</v>
      </c>
      <c r="G6" s="33">
        <f>IF(AND(D6&lt;&gt;"",Förderrechner_neu!$G$10="ja",B6&lt;&gt;""),IF(Förderrechner_neu!$F$19&lt;2029,20%,IF(Förderrechner_neu!$F$19&lt;2031,17%,IF(Förderrechner_neu!$F$19&lt;2033,14%,IF(Förderrechner_neu!F$19&lt;2035,11%,8%)))),"")</f>
        <v>0.2</v>
      </c>
      <c r="H6" s="34">
        <f>IF(AND(D6&lt;&gt;"",Förderrechner_neu!$G$13="ja",Förderrechner_neu!$F$6="Wärmepumpe"),5%,"")</f>
        <v>0.05</v>
      </c>
      <c r="I6" s="32" t="str">
        <f t="shared" ref="I6:I29" si="2">IF(C6&lt;&gt;"",30%,"")</f>
        <v/>
      </c>
      <c r="J6" s="33">
        <f>IF(D6&lt;&gt;"",IF(B6&lt;&gt;"",70%,70%),"")</f>
        <v>0.7</v>
      </c>
      <c r="K6" s="24">
        <f>IF(E6&lt;&gt;"",MIN(E6,(Förderrechner_neu!$F$8/Förderrechner_neu!$C$7)),"")</f>
        <v>7500</v>
      </c>
      <c r="L6" s="47">
        <f t="shared" ref="L6:L29" si="3">IF(J6="","",MIN(J6,SUM(F6:I6)))</f>
        <v>0.55000000000000004</v>
      </c>
      <c r="M6" s="50">
        <f t="shared" ref="M6:M29" si="4">IFERROR(K6*L6,"")</f>
        <v>4125</v>
      </c>
      <c r="N6" s="12"/>
    </row>
    <row r="7" spans="1:14">
      <c r="A7" s="43">
        <v>3</v>
      </c>
      <c r="B7" s="27" t="str">
        <f>IF(Förderrechner_neu!$F$7&gt;=A7,"x","")</f>
        <v>x</v>
      </c>
      <c r="C7" s="27" t="str">
        <f>IF(Förderrechner_neu!$G$16&gt;=A7,"x","")</f>
        <v/>
      </c>
      <c r="D7" s="24">
        <f>IF(Förderrechner_neu!$C$7&gt;=A7,15000,"")</f>
        <v>15000</v>
      </c>
      <c r="E7" s="24">
        <f t="shared" si="0"/>
        <v>15125</v>
      </c>
      <c r="F7" s="32">
        <f t="shared" si="1"/>
        <v>0.3</v>
      </c>
      <c r="G7" s="33">
        <f>IF(AND(D7&lt;&gt;"",Förderrechner_neu!$G$10="ja",B7&lt;&gt;""),IF(Förderrechner_neu!$F$19&lt;2029,20%,IF(Förderrechner_neu!$F$19&lt;2031,17%,IF(Förderrechner_neu!$F$19&lt;2033,14%,IF(Förderrechner_neu!F$19&lt;2035,11%,8%)))),"")</f>
        <v>0.2</v>
      </c>
      <c r="H7" s="34">
        <f>IF(AND(D7&lt;&gt;"",Förderrechner_neu!$G$13="ja",Förderrechner_neu!$F$6="Wärmepumpe"),5%,"")</f>
        <v>0.05</v>
      </c>
      <c r="I7" s="32" t="str">
        <f t="shared" si="2"/>
        <v/>
      </c>
      <c r="J7" s="33">
        <f t="shared" ref="J7:J29" si="5">IF(D7&lt;&gt;"",IF(B7&lt;&gt;"",70%,70%),"")</f>
        <v>0.7</v>
      </c>
      <c r="K7" s="24">
        <f>IF(E7&lt;&gt;"",MIN(E7,(Förderrechner_neu!$F$8/Förderrechner_neu!$C$7)),"")</f>
        <v>7500</v>
      </c>
      <c r="L7" s="47">
        <f t="shared" si="3"/>
        <v>0.55000000000000004</v>
      </c>
      <c r="M7" s="50">
        <f t="shared" si="4"/>
        <v>4125</v>
      </c>
      <c r="N7" s="12"/>
    </row>
    <row r="8" spans="1:14">
      <c r="A8" s="43">
        <v>4</v>
      </c>
      <c r="B8" s="27" t="str">
        <f>IF(Förderrechner_neu!$F$7&gt;=A8,"x","")</f>
        <v>x</v>
      </c>
      <c r="C8" s="27" t="str">
        <f>IF(Förderrechner_neu!$G$16&gt;=A8,"x","")</f>
        <v/>
      </c>
      <c r="D8" s="24">
        <f>IF(Förderrechner_neu!$C$7&gt;=A8,15000,"")</f>
        <v>15000</v>
      </c>
      <c r="E8" s="24">
        <f t="shared" si="0"/>
        <v>15125</v>
      </c>
      <c r="F8" s="32">
        <f t="shared" si="1"/>
        <v>0.3</v>
      </c>
      <c r="G8" s="33">
        <f>IF(AND(D8&lt;&gt;"",Förderrechner_neu!$G$10="ja",B8&lt;&gt;""),IF(Förderrechner_neu!$F$19&lt;2029,20%,IF(Förderrechner_neu!$F$19&lt;2031,17%,IF(Förderrechner_neu!$F$19&lt;2033,14%,IF(Förderrechner_neu!F$19&lt;2035,11%,8%)))),"")</f>
        <v>0.2</v>
      </c>
      <c r="H8" s="34">
        <f>IF(AND(D8&lt;&gt;"",Förderrechner_neu!$G$13="ja",Förderrechner_neu!$F$6="Wärmepumpe"),5%,"")</f>
        <v>0.05</v>
      </c>
      <c r="I8" s="32" t="str">
        <f t="shared" si="2"/>
        <v/>
      </c>
      <c r="J8" s="33">
        <f t="shared" si="5"/>
        <v>0.7</v>
      </c>
      <c r="K8" s="24">
        <f>IF(E8&lt;&gt;"",MIN(E8,(Förderrechner_neu!$F$8/Förderrechner_neu!$C$7)),"")</f>
        <v>7500</v>
      </c>
      <c r="L8" s="47">
        <f t="shared" si="3"/>
        <v>0.55000000000000004</v>
      </c>
      <c r="M8" s="50">
        <f t="shared" si="4"/>
        <v>4125</v>
      </c>
      <c r="N8" s="12"/>
    </row>
    <row r="9" spans="1:14">
      <c r="A9" s="43">
        <v>5</v>
      </c>
      <c r="B9" s="27" t="str">
        <f>IF(Förderrechner_neu!$F$7&gt;=A9,"x","")</f>
        <v/>
      </c>
      <c r="C9" s="27" t="str">
        <f>IF(Förderrechner_neu!$G$16&gt;=A9,"x","")</f>
        <v/>
      </c>
      <c r="D9" s="24">
        <f>IF(Förderrechner_neu!$C$7&gt;=A9,15000,"")</f>
        <v>15000</v>
      </c>
      <c r="E9" s="24">
        <f t="shared" si="0"/>
        <v>15125</v>
      </c>
      <c r="F9" s="32">
        <f t="shared" si="1"/>
        <v>0.3</v>
      </c>
      <c r="G9" s="33" t="str">
        <f>IF(AND(D9&lt;&gt;"",Förderrechner_neu!$G$10="ja",B9&lt;&gt;""),IF(Förderrechner_neu!$F$19&lt;2029,20%,IF(Förderrechner_neu!$F$19&lt;2031,17%,IF(Förderrechner_neu!$F$19&lt;2033,14%,IF(Förderrechner_neu!F$19&lt;2035,11%,8%)))),"")</f>
        <v/>
      </c>
      <c r="H9" s="34">
        <f>IF(AND(D9&lt;&gt;"",Förderrechner_neu!$G$13="ja",Förderrechner_neu!$F$6="Wärmepumpe"),5%,"")</f>
        <v>0.05</v>
      </c>
      <c r="I9" s="32" t="str">
        <f t="shared" si="2"/>
        <v/>
      </c>
      <c r="J9" s="33">
        <f t="shared" si="5"/>
        <v>0.7</v>
      </c>
      <c r="K9" s="24">
        <f>IF(E9&lt;&gt;"",MIN(E9,(Förderrechner_neu!$F$8/Förderrechner_neu!$C$7)),"")</f>
        <v>7500</v>
      </c>
      <c r="L9" s="47">
        <f t="shared" si="3"/>
        <v>0.35</v>
      </c>
      <c r="M9" s="50">
        <f t="shared" si="4"/>
        <v>2625</v>
      </c>
      <c r="N9" s="12"/>
    </row>
    <row r="10" spans="1:14">
      <c r="A10" s="43">
        <v>6</v>
      </c>
      <c r="B10" s="27" t="str">
        <f>IF(Förderrechner_neu!$F$7&gt;=A10,"x","")</f>
        <v/>
      </c>
      <c r="C10" s="27" t="str">
        <f>IF(Förderrechner_neu!$G$16&gt;=A10,"x","")</f>
        <v/>
      </c>
      <c r="D10" s="24">
        <f>IF(Förderrechner_neu!$C$7&gt;=A10,15000,"")</f>
        <v>15000</v>
      </c>
      <c r="E10" s="24">
        <f t="shared" si="0"/>
        <v>15125</v>
      </c>
      <c r="F10" s="32">
        <f t="shared" si="1"/>
        <v>0.3</v>
      </c>
      <c r="G10" s="33" t="str">
        <f>IF(AND(D10&lt;&gt;"",Förderrechner_neu!$G$10="ja",B10&lt;&gt;""),IF(Förderrechner_neu!$F$19&lt;2029,20%,IF(Förderrechner_neu!$F$19&lt;2031,17%,IF(Förderrechner_neu!$F$19&lt;2033,14%,IF(Förderrechner_neu!F$19&lt;2035,11%,8%)))),"")</f>
        <v/>
      </c>
      <c r="H10" s="34">
        <f>IF(AND(D10&lt;&gt;"",Förderrechner_neu!$G$13="ja",Förderrechner_neu!$F$6="Wärmepumpe"),5%,"")</f>
        <v>0.05</v>
      </c>
      <c r="I10" s="32" t="str">
        <f t="shared" si="2"/>
        <v/>
      </c>
      <c r="J10" s="33">
        <f t="shared" si="5"/>
        <v>0.7</v>
      </c>
      <c r="K10" s="24">
        <f>IF(E10&lt;&gt;"",MIN(E10,(Förderrechner_neu!$F$8/Förderrechner_neu!$C$7)),"")</f>
        <v>7500</v>
      </c>
      <c r="L10" s="47">
        <f t="shared" si="3"/>
        <v>0.35</v>
      </c>
      <c r="M10" s="50">
        <f t="shared" si="4"/>
        <v>2625</v>
      </c>
      <c r="N10" s="12"/>
    </row>
    <row r="11" spans="1:14">
      <c r="A11" s="43">
        <v>7</v>
      </c>
      <c r="B11" s="27" t="str">
        <f>IF(Förderrechner_neu!$F$7&gt;=A11,"x","")</f>
        <v/>
      </c>
      <c r="C11" s="27" t="str">
        <f>IF(Förderrechner_neu!$G$16&gt;=A11,"x","")</f>
        <v/>
      </c>
      <c r="D11" s="24">
        <f>IF(Förderrechner_neu!$C$7&gt;=A11,8000,"")</f>
        <v>8000</v>
      </c>
      <c r="E11" s="24">
        <f t="shared" si="0"/>
        <v>15125</v>
      </c>
      <c r="F11" s="32">
        <f t="shared" si="1"/>
        <v>0.3</v>
      </c>
      <c r="G11" s="33" t="str">
        <f>IF(AND(D11&lt;&gt;"",Förderrechner_neu!$G$10="ja",B11&lt;&gt;""),IF(Förderrechner_neu!$F$19&lt;2029,20%,IF(Förderrechner_neu!$F$19&lt;2031,17%,IF(Förderrechner_neu!$F$19&lt;2033,14%,IF(Förderrechner_neu!F$19&lt;2035,11%,8%)))),"")</f>
        <v/>
      </c>
      <c r="H11" s="34">
        <f>IF(AND(D11&lt;&gt;"",Förderrechner_neu!$G$13="ja",Förderrechner_neu!$F$6="Wärmepumpe"),5%,"")</f>
        <v>0.05</v>
      </c>
      <c r="I11" s="32" t="str">
        <f t="shared" si="2"/>
        <v/>
      </c>
      <c r="J11" s="33">
        <f t="shared" si="5"/>
        <v>0.7</v>
      </c>
      <c r="K11" s="24">
        <f>IF(E11&lt;&gt;"",MIN(E11,(Förderrechner_neu!$F$8/Förderrechner_neu!$C$7)),"")</f>
        <v>7500</v>
      </c>
      <c r="L11" s="47">
        <f t="shared" si="3"/>
        <v>0.35</v>
      </c>
      <c r="M11" s="50">
        <f t="shared" si="4"/>
        <v>2625</v>
      </c>
      <c r="N11" s="12"/>
    </row>
    <row r="12" spans="1:14">
      <c r="A12" s="43">
        <v>8</v>
      </c>
      <c r="B12" s="27" t="str">
        <f>IF(Förderrechner_neu!$F$7&gt;=A12,"x","")</f>
        <v/>
      </c>
      <c r="C12" s="27" t="str">
        <f>IF(Förderrechner_neu!$G$16&gt;=A12,"x","")</f>
        <v/>
      </c>
      <c r="D12" s="24">
        <f>IF(Förderrechner_neu!$C$7&gt;=A12,8000,"")</f>
        <v>8000</v>
      </c>
      <c r="E12" s="24">
        <f t="shared" si="0"/>
        <v>15125</v>
      </c>
      <c r="F12" s="32">
        <f t="shared" si="1"/>
        <v>0.3</v>
      </c>
      <c r="G12" s="33" t="str">
        <f>IF(AND(D12&lt;&gt;"",Förderrechner_neu!$G$10="ja",B12&lt;&gt;""),IF(Förderrechner_neu!$F$19&lt;2029,20%,IF(Förderrechner_neu!$F$19&lt;2031,17%,IF(Förderrechner_neu!$F$19&lt;2033,14%,IF(Förderrechner_neu!F$19&lt;2035,11%,8%)))),"")</f>
        <v/>
      </c>
      <c r="H12" s="34">
        <f>IF(AND(D12&lt;&gt;"",Förderrechner_neu!$G$13="ja",Förderrechner_neu!$F$6="Wärmepumpe"),5%,"")</f>
        <v>0.05</v>
      </c>
      <c r="I12" s="32" t="str">
        <f t="shared" si="2"/>
        <v/>
      </c>
      <c r="J12" s="33">
        <f t="shared" si="5"/>
        <v>0.7</v>
      </c>
      <c r="K12" s="24">
        <f>IF(E12&lt;&gt;"",MIN(E12,(Förderrechner_neu!$F$8/Förderrechner_neu!$C$7)),"")</f>
        <v>7500</v>
      </c>
      <c r="L12" s="47">
        <f t="shared" si="3"/>
        <v>0.35</v>
      </c>
      <c r="M12" s="50">
        <f t="shared" si="4"/>
        <v>2625</v>
      </c>
      <c r="N12" s="12"/>
    </row>
    <row r="13" spans="1:14">
      <c r="A13" s="43">
        <v>9</v>
      </c>
      <c r="B13" s="27" t="str">
        <f>IF(Förderrechner_neu!$F$7&gt;=A13,"x","")</f>
        <v/>
      </c>
      <c r="C13" s="27" t="str">
        <f>IF(Förderrechner_neu!$G$16&gt;=A13,"x","")</f>
        <v/>
      </c>
      <c r="D13" s="24" t="str">
        <f>IF(Förderrechner_neu!$C$7&gt;=A13,8000,"")</f>
        <v/>
      </c>
      <c r="E13" s="24" t="str">
        <f t="shared" si="0"/>
        <v/>
      </c>
      <c r="F13" s="32" t="str">
        <f>IF(D13&lt;&gt;"",30%,"")</f>
        <v/>
      </c>
      <c r="G13" s="33" t="str">
        <f>IF(AND(D13&lt;&gt;"",Förderrechner_neu!$G$10="ja",B13&lt;&gt;""),IF(Förderrechner_neu!$F$19&lt;2029,20%,IF(Förderrechner_neu!$F$19&lt;2031,17%,IF(Förderrechner_neu!$F$19&lt;2033,14%,IF(Förderrechner_neu!F$19&lt;2035,11%,8%)))),"")</f>
        <v/>
      </c>
      <c r="H13" s="34" t="str">
        <f>IF(AND(D13&lt;&gt;"",Förderrechner_neu!$G$13="ja",Förderrechner_neu!$F$6="Wärmepumpe"),5%,"")</f>
        <v/>
      </c>
      <c r="I13" s="32" t="str">
        <f t="shared" si="2"/>
        <v/>
      </c>
      <c r="J13" s="33" t="str">
        <f t="shared" si="5"/>
        <v/>
      </c>
      <c r="K13" s="24" t="str">
        <f>IF(E13&lt;&gt;"",MIN(E13,(Förderrechner_neu!$F$8/Förderrechner_neu!$C$7)),"")</f>
        <v/>
      </c>
      <c r="L13" s="47" t="str">
        <f t="shared" si="3"/>
        <v/>
      </c>
      <c r="M13" s="50" t="str">
        <f t="shared" si="4"/>
        <v/>
      </c>
      <c r="N13" s="20"/>
    </row>
    <row r="14" spans="1:14">
      <c r="A14" s="43">
        <v>10</v>
      </c>
      <c r="B14" s="27" t="str">
        <f>IF(Förderrechner_neu!$F$7&gt;=A14,"x","")</f>
        <v/>
      </c>
      <c r="C14" s="27" t="str">
        <f>IF(Förderrechner_neu!$G$16&gt;=A14,"x","")</f>
        <v/>
      </c>
      <c r="D14" s="24" t="str">
        <f>IF(Förderrechner_neu!$C$7&gt;=A14,8000,"")</f>
        <v/>
      </c>
      <c r="E14" s="24" t="str">
        <f t="shared" si="0"/>
        <v/>
      </c>
      <c r="F14" s="32" t="str">
        <f t="shared" si="1"/>
        <v/>
      </c>
      <c r="G14" s="33" t="str">
        <f>IF(AND(D14&lt;&gt;"",Förderrechner_neu!$G$10="ja",B14&lt;&gt;""),IF(Förderrechner_neu!$F$19&lt;2029,20%,IF(Förderrechner_neu!$F$19&lt;2031,17%,IF(Förderrechner_neu!$F$19&lt;2033,14%,IF(Förderrechner_neu!F$19&lt;2035,11%,8%)))),"")</f>
        <v/>
      </c>
      <c r="H14" s="34" t="str">
        <f>IF(AND(D14&lt;&gt;"",Förderrechner_neu!$G$13="ja",Förderrechner_neu!$F$6="Wärmepumpe"),5%,"")</f>
        <v/>
      </c>
      <c r="I14" s="32" t="str">
        <f t="shared" si="2"/>
        <v/>
      </c>
      <c r="J14" s="33" t="str">
        <f t="shared" si="5"/>
        <v/>
      </c>
      <c r="K14" s="24" t="str">
        <f>IF(E14&lt;&gt;"",MIN(E14,(Förderrechner_neu!$F$8/Förderrechner_neu!$C$7)),"")</f>
        <v/>
      </c>
      <c r="L14" s="47" t="str">
        <f t="shared" si="3"/>
        <v/>
      </c>
      <c r="M14" s="50" t="str">
        <f t="shared" si="4"/>
        <v/>
      </c>
    </row>
    <row r="15" spans="1:14">
      <c r="A15" s="43">
        <v>11</v>
      </c>
      <c r="B15" s="27" t="str">
        <f>IF(Förderrechner_neu!$F$7&gt;=A15,"x","")</f>
        <v/>
      </c>
      <c r="C15" s="27" t="str">
        <f>IF(Förderrechner_neu!$G$16&gt;=A15,"x","")</f>
        <v/>
      </c>
      <c r="D15" s="24" t="str">
        <f>IF(Förderrechner_neu!$C$7&gt;=A15,8000,"")</f>
        <v/>
      </c>
      <c r="E15" s="24" t="str">
        <f t="shared" si="0"/>
        <v/>
      </c>
      <c r="F15" s="32" t="str">
        <f t="shared" si="1"/>
        <v/>
      </c>
      <c r="G15" s="33" t="str">
        <f>IF(AND(D15&lt;&gt;"",Förderrechner_neu!$G$10="ja",B15&lt;&gt;""),IF(Förderrechner_neu!$F$19&lt;2029,20%,IF(Förderrechner_neu!$F$19&lt;2031,17%,IF(Förderrechner_neu!$F$19&lt;2033,14%,IF(Förderrechner_neu!F$19&lt;2035,11%,8%)))),"")</f>
        <v/>
      </c>
      <c r="H15" s="34" t="str">
        <f>IF(AND(D15&lt;&gt;"",Förderrechner_neu!$G$13="ja",Förderrechner_neu!$F$6="Wärmepumpe"),5%,"")</f>
        <v/>
      </c>
      <c r="I15" s="32" t="str">
        <f t="shared" si="2"/>
        <v/>
      </c>
      <c r="J15" s="33" t="str">
        <f t="shared" si="5"/>
        <v/>
      </c>
      <c r="K15" s="24" t="str">
        <f>IF(E15&lt;&gt;"",MIN(E15,(Förderrechner_neu!$F$8/Förderrechner_neu!$C$7)),"")</f>
        <v/>
      </c>
      <c r="L15" s="47" t="str">
        <f t="shared" si="3"/>
        <v/>
      </c>
      <c r="M15" s="50" t="str">
        <f t="shared" si="4"/>
        <v/>
      </c>
    </row>
    <row r="16" spans="1:14">
      <c r="A16" s="43">
        <v>12</v>
      </c>
      <c r="B16" s="27" t="str">
        <f>IF(Förderrechner_neu!$F$7&gt;=A16,"x","")</f>
        <v/>
      </c>
      <c r="C16" s="27" t="str">
        <f>IF(Förderrechner_neu!$G$16&gt;=A16,"x","")</f>
        <v/>
      </c>
      <c r="D16" s="24" t="str">
        <f>IF(Förderrechner_neu!$C$7&gt;=A16,8000,"")</f>
        <v/>
      </c>
      <c r="E16" s="24" t="str">
        <f t="shared" si="0"/>
        <v/>
      </c>
      <c r="F16" s="32" t="str">
        <f t="shared" si="1"/>
        <v/>
      </c>
      <c r="G16" s="33" t="str">
        <f>IF(AND(D16&lt;&gt;"",Förderrechner_neu!$G$10="ja",B16&lt;&gt;""),IF(Förderrechner_neu!$F$19&lt;2029,20%,IF(Förderrechner_neu!$F$19&lt;2031,17%,IF(Förderrechner_neu!$F$19&lt;2033,14%,IF(Förderrechner_neu!F$19&lt;2035,11%,8%)))),"")</f>
        <v/>
      </c>
      <c r="H16" s="34" t="str">
        <f>IF(AND(D16&lt;&gt;"",Förderrechner_neu!$G$13="ja",Förderrechner_neu!$F$6="Wärmepumpe"),5%,"")</f>
        <v/>
      </c>
      <c r="I16" s="32" t="str">
        <f t="shared" si="2"/>
        <v/>
      </c>
      <c r="J16" s="33" t="str">
        <f t="shared" si="5"/>
        <v/>
      </c>
      <c r="K16" s="24" t="str">
        <f>IF(E16&lt;&gt;"",MIN(E16,(Förderrechner_neu!$F$8/Förderrechner_neu!$C$7)),"")</f>
        <v/>
      </c>
      <c r="L16" s="47" t="str">
        <f t="shared" si="3"/>
        <v/>
      </c>
      <c r="M16" s="50" t="str">
        <f t="shared" si="4"/>
        <v/>
      </c>
    </row>
    <row r="17" spans="1:13">
      <c r="A17" s="43">
        <v>13</v>
      </c>
      <c r="B17" s="27" t="str">
        <f>IF(Förderrechner_neu!$F$7&gt;=A17,"x","")</f>
        <v/>
      </c>
      <c r="C17" s="27" t="str">
        <f>IF(Förderrechner_neu!$G$16&gt;=A17,"x","")</f>
        <v/>
      </c>
      <c r="D17" s="24" t="str">
        <f>IF(Förderrechner_neu!$C$7&gt;=A17,8000,"")</f>
        <v/>
      </c>
      <c r="E17" s="24" t="str">
        <f t="shared" si="0"/>
        <v/>
      </c>
      <c r="F17" s="32" t="str">
        <f t="shared" si="1"/>
        <v/>
      </c>
      <c r="G17" s="33" t="str">
        <f>IF(AND(D17&lt;&gt;"",Förderrechner_neu!$G$10="ja",B17&lt;&gt;""),IF(Förderrechner_neu!$F$19&lt;2029,20%,IF(Förderrechner_neu!$F$19&lt;2031,17%,IF(Förderrechner_neu!$F$19&lt;2033,14%,IF(Förderrechner_neu!F$19&lt;2035,11%,8%)))),"")</f>
        <v/>
      </c>
      <c r="H17" s="34" t="str">
        <f>IF(AND(D17&lt;&gt;"",Förderrechner_neu!$G$13="ja",Förderrechner_neu!$F$6="Wärmepumpe"),5%,"")</f>
        <v/>
      </c>
      <c r="I17" s="32" t="str">
        <f t="shared" si="2"/>
        <v/>
      </c>
      <c r="J17" s="33" t="str">
        <f t="shared" si="5"/>
        <v/>
      </c>
      <c r="K17" s="24" t="str">
        <f>IF(E17&lt;&gt;"",MIN(E17,(Förderrechner_neu!$F$8/Förderrechner_neu!$C$7)),"")</f>
        <v/>
      </c>
      <c r="L17" s="47" t="str">
        <f t="shared" si="3"/>
        <v/>
      </c>
      <c r="M17" s="50" t="str">
        <f t="shared" si="4"/>
        <v/>
      </c>
    </row>
    <row r="18" spans="1:13">
      <c r="A18" s="43">
        <v>14</v>
      </c>
      <c r="B18" s="27" t="str">
        <f>IF(Förderrechner_neu!$F$7&gt;=A18,"x","")</f>
        <v/>
      </c>
      <c r="C18" s="27" t="str">
        <f>IF(Förderrechner_neu!$G$16&gt;=A18,"x","")</f>
        <v/>
      </c>
      <c r="D18" s="24" t="str">
        <f>IF(Förderrechner_neu!$C$7&gt;=A18,8000,"")</f>
        <v/>
      </c>
      <c r="E18" s="24" t="str">
        <f t="shared" si="0"/>
        <v/>
      </c>
      <c r="F18" s="32" t="str">
        <f t="shared" si="1"/>
        <v/>
      </c>
      <c r="G18" s="33" t="str">
        <f>IF(AND(D18&lt;&gt;"",Förderrechner_neu!$G$10="ja",B18&lt;&gt;""),IF(Förderrechner_neu!$F$19&lt;2029,20%,IF(Förderrechner_neu!$F$19&lt;2031,17%,IF(Förderrechner_neu!$F$19&lt;2033,14%,IF(Förderrechner_neu!F$19&lt;2035,11%,8%)))),"")</f>
        <v/>
      </c>
      <c r="H18" s="34" t="str">
        <f>IF(AND(D18&lt;&gt;"",Förderrechner_neu!$G$13="ja",Förderrechner_neu!$F$6="Wärmepumpe"),5%,"")</f>
        <v/>
      </c>
      <c r="I18" s="32" t="str">
        <f t="shared" si="2"/>
        <v/>
      </c>
      <c r="J18" s="33" t="str">
        <f t="shared" si="5"/>
        <v/>
      </c>
      <c r="K18" s="24" t="str">
        <f>IF(E18&lt;&gt;"",MIN(E18,(Förderrechner_neu!$F$8/Förderrechner_neu!$C$7)),"")</f>
        <v/>
      </c>
      <c r="L18" s="47" t="str">
        <f t="shared" si="3"/>
        <v/>
      </c>
      <c r="M18" s="50" t="str">
        <f t="shared" si="4"/>
        <v/>
      </c>
    </row>
    <row r="19" spans="1:13">
      <c r="A19" s="43">
        <v>15</v>
      </c>
      <c r="B19" s="27"/>
      <c r="C19" s="27"/>
      <c r="D19" s="24" t="str">
        <f>IF(Förderrechner_neu!$C$7&gt;=A19,8000,"")</f>
        <v/>
      </c>
      <c r="E19" s="24" t="str">
        <f t="shared" ref="E19:E27" si="6">IF(D19&lt;&gt;"",SUM($D$5:$D$29)/COUNT($D$5:$D$29),"")</f>
        <v/>
      </c>
      <c r="F19" s="32" t="str">
        <f t="shared" ref="F19:F27" si="7">IF(D19&lt;&gt;"",30%,"")</f>
        <v/>
      </c>
      <c r="G19" s="33" t="str">
        <f>IF(AND(D19&lt;&gt;"",Förderrechner_neu!$G$10="ja",B19&lt;&gt;""),IF(Förderrechner_neu!$F$19&lt;2029,20%,IF(Förderrechner_neu!$F$19&lt;2031,17%,IF(Förderrechner_neu!$F$19&lt;2033,14%,IF(Förderrechner_neu!F$19&lt;2035,11%,8%)))),"")</f>
        <v/>
      </c>
      <c r="H19" s="34" t="str">
        <f>IF(AND(D19&lt;&gt;"",Förderrechner_neu!$G$13="ja",Förderrechner_neu!$F$6="Wärmepumpe"),5%,"")</f>
        <v/>
      </c>
      <c r="I19" s="32" t="str">
        <f t="shared" ref="I19:I27" si="8">IF(C19&lt;&gt;"",30%,"")</f>
        <v/>
      </c>
      <c r="J19" s="33" t="str">
        <f t="shared" si="5"/>
        <v/>
      </c>
      <c r="K19" s="24" t="str">
        <f>IF(E19&lt;&gt;"",MIN(E19,(Förderrechner_neu!$F$8/Förderrechner_neu!$C$7)),"")</f>
        <v/>
      </c>
      <c r="L19" s="47" t="str">
        <f t="shared" si="3"/>
        <v/>
      </c>
      <c r="M19" s="50" t="str">
        <f t="shared" ref="M19:M27" si="9">IFERROR(K19*L19,"")</f>
        <v/>
      </c>
    </row>
    <row r="20" spans="1:13">
      <c r="A20" s="43">
        <v>16</v>
      </c>
      <c r="B20" s="27"/>
      <c r="C20" s="27"/>
      <c r="D20" s="24" t="str">
        <f>IF(Förderrechner_neu!$C$7&gt;=A20,8000,"")</f>
        <v/>
      </c>
      <c r="E20" s="24" t="str">
        <f t="shared" si="6"/>
        <v/>
      </c>
      <c r="F20" s="32" t="str">
        <f t="shared" si="7"/>
        <v/>
      </c>
      <c r="G20" s="33" t="str">
        <f>IF(AND(D20&lt;&gt;"",Förderrechner_neu!$G$10="ja",B20&lt;&gt;""),IF(Förderrechner_neu!$F$19&lt;2029,20%,IF(Förderrechner_neu!$F$19&lt;2031,17%,IF(Förderrechner_neu!$F$19&lt;2033,14%,IF(Förderrechner_neu!F$19&lt;2035,11%,8%)))),"")</f>
        <v/>
      </c>
      <c r="H20" s="34" t="str">
        <f>IF(AND(D20&lt;&gt;"",Förderrechner_neu!$G$13="ja",Förderrechner_neu!$F$6="Wärmepumpe"),5%,"")</f>
        <v/>
      </c>
      <c r="I20" s="32" t="str">
        <f t="shared" si="8"/>
        <v/>
      </c>
      <c r="J20" s="33" t="str">
        <f t="shared" si="5"/>
        <v/>
      </c>
      <c r="K20" s="24" t="str">
        <f>IF(E20&lt;&gt;"",MIN(E20,(Förderrechner_neu!$F$8/Förderrechner_neu!$C$7)),"")</f>
        <v/>
      </c>
      <c r="L20" s="47" t="str">
        <f t="shared" si="3"/>
        <v/>
      </c>
      <c r="M20" s="50" t="str">
        <f t="shared" si="9"/>
        <v/>
      </c>
    </row>
    <row r="21" spans="1:13">
      <c r="A21" s="43">
        <v>17</v>
      </c>
      <c r="B21" s="27"/>
      <c r="C21" s="27"/>
      <c r="D21" s="24" t="str">
        <f>IF(Förderrechner_neu!$C$7&gt;=A21,8000,"")</f>
        <v/>
      </c>
      <c r="E21" s="24" t="str">
        <f t="shared" si="6"/>
        <v/>
      </c>
      <c r="F21" s="32" t="str">
        <f t="shared" si="7"/>
        <v/>
      </c>
      <c r="G21" s="33" t="str">
        <f>IF(AND(D21&lt;&gt;"",Förderrechner_neu!$G$10="ja",B21&lt;&gt;""),IF(Förderrechner_neu!$F$19&lt;2029,20%,IF(Förderrechner_neu!$F$19&lt;2031,17%,IF(Förderrechner_neu!$F$19&lt;2033,14%,IF(Förderrechner_neu!F$19&lt;2035,11%,8%)))),"")</f>
        <v/>
      </c>
      <c r="H21" s="34" t="str">
        <f>IF(AND(D21&lt;&gt;"",Förderrechner_neu!$G$13="ja",Förderrechner_neu!$F$6="Wärmepumpe"),5%,"")</f>
        <v/>
      </c>
      <c r="I21" s="32" t="str">
        <f t="shared" si="8"/>
        <v/>
      </c>
      <c r="J21" s="33" t="str">
        <f t="shared" si="5"/>
        <v/>
      </c>
      <c r="K21" s="24" t="str">
        <f>IF(E21&lt;&gt;"",MIN(E21,(Förderrechner_neu!$F$8/Förderrechner_neu!$C$7)),"")</f>
        <v/>
      </c>
      <c r="L21" s="47" t="str">
        <f t="shared" si="3"/>
        <v/>
      </c>
      <c r="M21" s="50" t="str">
        <f t="shared" si="9"/>
        <v/>
      </c>
    </row>
    <row r="22" spans="1:13">
      <c r="A22" s="43">
        <v>18</v>
      </c>
      <c r="B22" s="27"/>
      <c r="C22" s="27"/>
      <c r="D22" s="24" t="str">
        <f>IF(Förderrechner_neu!$C$7&gt;=A22,8000,"")</f>
        <v/>
      </c>
      <c r="E22" s="24" t="str">
        <f t="shared" si="6"/>
        <v/>
      </c>
      <c r="F22" s="32" t="str">
        <f t="shared" si="7"/>
        <v/>
      </c>
      <c r="G22" s="33" t="str">
        <f>IF(AND(D22&lt;&gt;"",Förderrechner_neu!$G$10="ja",B22&lt;&gt;""),IF(Förderrechner_neu!$F$19&lt;2029,20%,IF(Förderrechner_neu!$F$19&lt;2031,17%,IF(Förderrechner_neu!$F$19&lt;2033,14%,IF(Förderrechner_neu!F$19&lt;2035,11%,8%)))),"")</f>
        <v/>
      </c>
      <c r="H22" s="34" t="str">
        <f>IF(AND(D22&lt;&gt;"",Förderrechner_neu!$G$13="ja",Förderrechner_neu!$F$6="Wärmepumpe"),5%,"")</f>
        <v/>
      </c>
      <c r="I22" s="32" t="str">
        <f t="shared" si="8"/>
        <v/>
      </c>
      <c r="J22" s="33" t="str">
        <f t="shared" si="5"/>
        <v/>
      </c>
      <c r="K22" s="24" t="str">
        <f>IF(E22&lt;&gt;"",MIN(E22,(Förderrechner_neu!$F$8/Förderrechner_neu!$C$7)),"")</f>
        <v/>
      </c>
      <c r="L22" s="47" t="str">
        <f t="shared" si="3"/>
        <v/>
      </c>
      <c r="M22" s="50" t="str">
        <f t="shared" si="9"/>
        <v/>
      </c>
    </row>
    <row r="23" spans="1:13">
      <c r="A23" s="43">
        <v>19</v>
      </c>
      <c r="B23" s="27"/>
      <c r="C23" s="27"/>
      <c r="D23" s="24" t="str">
        <f>IF(Förderrechner_neu!$C$7&gt;=A23,8000,"")</f>
        <v/>
      </c>
      <c r="E23" s="24" t="str">
        <f t="shared" si="6"/>
        <v/>
      </c>
      <c r="F23" s="32" t="str">
        <f t="shared" si="7"/>
        <v/>
      </c>
      <c r="G23" s="33" t="str">
        <f>IF(AND(D23&lt;&gt;"",Förderrechner_neu!$G$10="ja",B23&lt;&gt;""),IF(Förderrechner_neu!$F$19&lt;2029,20%,IF(Förderrechner_neu!$F$19&lt;2031,17%,IF(Förderrechner_neu!$F$19&lt;2033,14%,IF(Förderrechner_neu!F$19&lt;2035,11%,8%)))),"")</f>
        <v/>
      </c>
      <c r="H23" s="34" t="str">
        <f>IF(AND(D23&lt;&gt;"",Förderrechner_neu!$G$13="ja",Förderrechner_neu!$F$6="Wärmepumpe"),5%,"")</f>
        <v/>
      </c>
      <c r="I23" s="32" t="str">
        <f t="shared" si="8"/>
        <v/>
      </c>
      <c r="J23" s="33" t="str">
        <f t="shared" si="5"/>
        <v/>
      </c>
      <c r="K23" s="24" t="str">
        <f>IF(E23&lt;&gt;"",MIN(E23,(Förderrechner_neu!$F$8/Förderrechner_neu!$C$7)),"")</f>
        <v/>
      </c>
      <c r="L23" s="47" t="str">
        <f t="shared" si="3"/>
        <v/>
      </c>
      <c r="M23" s="50" t="str">
        <f t="shared" si="9"/>
        <v/>
      </c>
    </row>
    <row r="24" spans="1:13">
      <c r="A24" s="43">
        <v>20</v>
      </c>
      <c r="B24" s="27"/>
      <c r="C24" s="27"/>
      <c r="D24" s="24" t="str">
        <f>IF(Förderrechner_neu!$C$7&gt;=A24,8000,"")</f>
        <v/>
      </c>
      <c r="E24" s="24" t="str">
        <f t="shared" si="6"/>
        <v/>
      </c>
      <c r="F24" s="32" t="str">
        <f t="shared" si="7"/>
        <v/>
      </c>
      <c r="G24" s="33" t="str">
        <f>IF(AND(D24&lt;&gt;"",Förderrechner_neu!$G$10="ja",B24&lt;&gt;""),IF(Förderrechner_neu!$F$19&lt;2029,20%,IF(Förderrechner_neu!$F$19&lt;2031,17%,IF(Förderrechner_neu!$F$19&lt;2033,14%,IF(Förderrechner_neu!F$19&lt;2035,11%,8%)))),"")</f>
        <v/>
      </c>
      <c r="H24" s="34" t="str">
        <f>IF(AND(D24&lt;&gt;"",Förderrechner_neu!$G$13="ja",Förderrechner_neu!$F$6="Wärmepumpe"),5%,"")</f>
        <v/>
      </c>
      <c r="I24" s="32" t="str">
        <f t="shared" si="8"/>
        <v/>
      </c>
      <c r="J24" s="33" t="str">
        <f t="shared" si="5"/>
        <v/>
      </c>
      <c r="K24" s="24" t="str">
        <f>IF(E24&lt;&gt;"",MIN(E24,(Förderrechner_neu!$F$8/Förderrechner_neu!$C$7)),"")</f>
        <v/>
      </c>
      <c r="L24" s="47" t="str">
        <f t="shared" si="3"/>
        <v/>
      </c>
      <c r="M24" s="50" t="str">
        <f t="shared" si="9"/>
        <v/>
      </c>
    </row>
    <row r="25" spans="1:13">
      <c r="A25" s="43">
        <v>21</v>
      </c>
      <c r="B25" s="27"/>
      <c r="C25" s="27"/>
      <c r="D25" s="24" t="str">
        <f>IF(Förderrechner_neu!$C$7&gt;=A25,8000,"")</f>
        <v/>
      </c>
      <c r="E25" s="24" t="str">
        <f t="shared" si="6"/>
        <v/>
      </c>
      <c r="F25" s="32" t="str">
        <f t="shared" si="7"/>
        <v/>
      </c>
      <c r="G25" s="33" t="str">
        <f>IF(AND(D25&lt;&gt;"",Förderrechner_neu!$G$10="ja",B25&lt;&gt;""),IF(Förderrechner_neu!$F$19&lt;2029,20%,IF(Förderrechner_neu!$F$19&lt;2031,17%,IF(Förderrechner_neu!$F$19&lt;2033,14%,IF(Förderrechner_neu!F$19&lt;2035,11%,8%)))),"")</f>
        <v/>
      </c>
      <c r="H25" s="34" t="str">
        <f>IF(AND(D25&lt;&gt;"",Förderrechner_neu!$G$13="ja",Förderrechner_neu!$F$6="Wärmepumpe"),5%,"")</f>
        <v/>
      </c>
      <c r="I25" s="32" t="str">
        <f t="shared" si="8"/>
        <v/>
      </c>
      <c r="J25" s="33" t="str">
        <f t="shared" si="5"/>
        <v/>
      </c>
      <c r="K25" s="24" t="str">
        <f>IF(E25&lt;&gt;"",MIN(E25,(Förderrechner_neu!$F$8/Förderrechner_neu!$C$7)),"")</f>
        <v/>
      </c>
      <c r="L25" s="47" t="str">
        <f t="shared" si="3"/>
        <v/>
      </c>
      <c r="M25" s="50" t="str">
        <f t="shared" si="9"/>
        <v/>
      </c>
    </row>
    <row r="26" spans="1:13">
      <c r="A26" s="43">
        <v>22</v>
      </c>
      <c r="B26" s="27"/>
      <c r="C26" s="27"/>
      <c r="D26" s="24" t="str">
        <f>IF(Förderrechner_neu!$C$7&gt;=A26,8000,"")</f>
        <v/>
      </c>
      <c r="E26" s="24" t="str">
        <f t="shared" si="6"/>
        <v/>
      </c>
      <c r="F26" s="32" t="str">
        <f t="shared" si="7"/>
        <v/>
      </c>
      <c r="G26" s="33" t="str">
        <f>IF(AND(D26&lt;&gt;"",Förderrechner_neu!$G$10="ja",B26&lt;&gt;""),IF(Förderrechner_neu!$F$19&lt;2029,20%,IF(Förderrechner_neu!$F$19&lt;2031,17%,IF(Förderrechner_neu!$F$19&lt;2033,14%,IF(Förderrechner_neu!F$19&lt;2035,11%,8%)))),"")</f>
        <v/>
      </c>
      <c r="H26" s="34" t="str">
        <f>IF(AND(D26&lt;&gt;"",Förderrechner_neu!$G$13="ja",Förderrechner_neu!$F$6="Wärmepumpe"),5%,"")</f>
        <v/>
      </c>
      <c r="I26" s="32" t="str">
        <f t="shared" si="8"/>
        <v/>
      </c>
      <c r="J26" s="33" t="str">
        <f t="shared" si="5"/>
        <v/>
      </c>
      <c r="K26" s="24" t="str">
        <f>IF(E26&lt;&gt;"",MIN(E26,(Förderrechner_neu!$F$8/Förderrechner_neu!$C$7)),"")</f>
        <v/>
      </c>
      <c r="L26" s="47" t="str">
        <f t="shared" si="3"/>
        <v/>
      </c>
      <c r="M26" s="50" t="str">
        <f t="shared" si="9"/>
        <v/>
      </c>
    </row>
    <row r="27" spans="1:13">
      <c r="A27" s="43">
        <v>23</v>
      </c>
      <c r="B27" s="27"/>
      <c r="C27" s="27"/>
      <c r="D27" s="24" t="str">
        <f>IF(Förderrechner_neu!$C$7&gt;=A27,8000,"")</f>
        <v/>
      </c>
      <c r="E27" s="24" t="str">
        <f t="shared" si="6"/>
        <v/>
      </c>
      <c r="F27" s="32" t="str">
        <f t="shared" si="7"/>
        <v/>
      </c>
      <c r="G27" s="33" t="str">
        <f>IF(AND(D27&lt;&gt;"",Förderrechner_neu!$G$10="ja",B27&lt;&gt;""),IF(Förderrechner_neu!$F$19&lt;2029,20%,IF(Förderrechner_neu!$F$19&lt;2031,17%,IF(Förderrechner_neu!$F$19&lt;2033,14%,IF(Förderrechner_neu!F$19&lt;2035,11%,8%)))),"")</f>
        <v/>
      </c>
      <c r="H27" s="34" t="str">
        <f>IF(AND(D27&lt;&gt;"",Förderrechner_neu!$G$13="ja",Förderrechner_neu!$F$6="Wärmepumpe"),5%,"")</f>
        <v/>
      </c>
      <c r="I27" s="32" t="str">
        <f t="shared" si="8"/>
        <v/>
      </c>
      <c r="J27" s="33" t="str">
        <f t="shared" si="5"/>
        <v/>
      </c>
      <c r="K27" s="24" t="str">
        <f>IF(E27&lt;&gt;"",MIN(E27,(Förderrechner_neu!$F$8/Förderrechner_neu!$C$7)),"")</f>
        <v/>
      </c>
      <c r="L27" s="47" t="str">
        <f t="shared" si="3"/>
        <v/>
      </c>
      <c r="M27" s="50" t="str">
        <f t="shared" si="9"/>
        <v/>
      </c>
    </row>
    <row r="28" spans="1:13">
      <c r="A28" s="43">
        <v>24</v>
      </c>
      <c r="B28" s="27" t="str">
        <f>IF(Förderrechner_neu!$F$7&gt;=A28,"x","")</f>
        <v/>
      </c>
      <c r="C28" s="27" t="str">
        <f>IF(Förderrechner_neu!$G$16&gt;=A28,"x","")</f>
        <v/>
      </c>
      <c r="D28" s="24" t="str">
        <f>IF(Förderrechner_neu!$C$7&gt;=A28,8000,"")</f>
        <v/>
      </c>
      <c r="E28" s="24" t="str">
        <f>IF(D28&lt;&gt;"",SUM($D$5:$D$29)/COUNT($D$5:$D$29),"")</f>
        <v/>
      </c>
      <c r="F28" s="32" t="str">
        <f t="shared" si="1"/>
        <v/>
      </c>
      <c r="G28" s="33" t="str">
        <f>IF(AND(D28&lt;&gt;"",Förderrechner_neu!$G$10="ja",B28&lt;&gt;""),IF(Förderrechner_neu!$F$19&lt;2029,20%,IF(Förderrechner_neu!$F$19&lt;2031,17%,IF(Förderrechner_neu!$F$19&lt;2033,14%,IF(Förderrechner_neu!F$19&lt;2035,11%,8%)))),"")</f>
        <v/>
      </c>
      <c r="H28" s="34" t="str">
        <f>IF(AND(D28&lt;&gt;"",Förderrechner_neu!$G$13="ja",Förderrechner_neu!$F$6="Wärmepumpe"),5%,"")</f>
        <v/>
      </c>
      <c r="I28" s="32" t="str">
        <f t="shared" si="2"/>
        <v/>
      </c>
      <c r="J28" s="33" t="str">
        <f t="shared" si="5"/>
        <v/>
      </c>
      <c r="K28" s="24" t="str">
        <f>IF(E28&lt;&gt;"",MIN(E28,(Förderrechner_neu!$F$8/Förderrechner_neu!$C$7)),"")</f>
        <v/>
      </c>
      <c r="L28" s="47" t="str">
        <f t="shared" si="3"/>
        <v/>
      </c>
      <c r="M28" s="50" t="str">
        <f t="shared" si="4"/>
        <v/>
      </c>
    </row>
    <row r="29" spans="1:13" ht="15.75" thickBot="1">
      <c r="A29" s="44">
        <v>25</v>
      </c>
      <c r="B29" s="28" t="str">
        <f>IF(Förderrechner_neu!$F$7&gt;=A29,"x","")</f>
        <v/>
      </c>
      <c r="C29" s="28" t="str">
        <f>IF(Förderrechner_neu!$G$16&gt;=A29,"x","")</f>
        <v/>
      </c>
      <c r="D29" s="25" t="str">
        <f>IF(Förderrechner_neu!$C$7&gt;=A29,8000,"")</f>
        <v/>
      </c>
      <c r="E29" s="25" t="str">
        <f t="shared" ref="E29" si="10">IF(D29&lt;&gt;"",SUM($D$5:$D$29)/COUNT($D$5:$D$29),"")</f>
        <v/>
      </c>
      <c r="F29" s="35" t="str">
        <f t="shared" si="1"/>
        <v/>
      </c>
      <c r="G29" s="36" t="str">
        <f>IF(AND(D29&lt;&gt;"",Förderrechner_neu!$G$10="ja",B29&lt;&gt;""),IF(Förderrechner_neu!$F$19&lt;2029,20%,IF(Förderrechner_neu!$F$19&lt;2031,17%,IF(Förderrechner_neu!$F$19&lt;2033,14%,IF(Förderrechner_neu!F$19&lt;2035,11%,8%)))),"")</f>
        <v/>
      </c>
      <c r="H29" s="37" t="str">
        <f>IF(AND(D29&lt;&gt;"",Förderrechner_neu!$G$13="ja",Förderrechner_neu!$F$6="Wärmepumpe"),5%,"")</f>
        <v/>
      </c>
      <c r="I29" s="35" t="str">
        <f t="shared" si="2"/>
        <v/>
      </c>
      <c r="J29" s="36" t="str">
        <f t="shared" si="5"/>
        <v/>
      </c>
      <c r="K29" s="25" t="str">
        <f>IF(E29&lt;&gt;"",MIN(E29,(Förderrechner_neu!$F$8/Förderrechner_neu!$C$7)),"")</f>
        <v/>
      </c>
      <c r="L29" s="48" t="str">
        <f t="shared" si="3"/>
        <v/>
      </c>
      <c r="M29" s="51" t="str">
        <f t="shared" si="4"/>
        <v/>
      </c>
    </row>
    <row r="30" spans="1:13">
      <c r="A30" s="101" t="s">
        <v>15</v>
      </c>
      <c r="B30" s="101"/>
      <c r="C30" s="101"/>
      <c r="D30" s="101"/>
      <c r="E30" s="101"/>
      <c r="F30" s="101"/>
      <c r="G30" s="101"/>
      <c r="H30" s="101"/>
      <c r="I30" s="101"/>
      <c r="J30" s="101"/>
      <c r="K30" s="101"/>
      <c r="L30" s="101"/>
      <c r="M30" s="101"/>
    </row>
    <row r="31" spans="1:13" ht="30" customHeight="1">
      <c r="A31" s="22" t="s">
        <v>26</v>
      </c>
      <c r="B31" s="102" t="s">
        <v>27</v>
      </c>
      <c r="C31" s="102"/>
      <c r="D31" s="102" t="s">
        <v>28</v>
      </c>
      <c r="E31" s="102"/>
      <c r="F31" s="102" t="s">
        <v>49</v>
      </c>
      <c r="G31" s="102"/>
      <c r="H31" s="102"/>
      <c r="I31" s="102" t="s">
        <v>30</v>
      </c>
      <c r="J31" s="102"/>
      <c r="K31" s="102" t="s">
        <v>29</v>
      </c>
      <c r="L31" s="102"/>
      <c r="M31" s="22" t="s">
        <v>16</v>
      </c>
    </row>
    <row r="32" spans="1:13">
      <c r="A32" s="41" cm="1">
        <f t="array" ref="A32">SUM(--(D5:D29&lt;&gt;""))</f>
        <v>8</v>
      </c>
      <c r="B32" s="105" cm="1">
        <f t="array" ref="B32">SUM(--(B5:B29="x"))</f>
        <v>4</v>
      </c>
      <c r="C32" s="105"/>
      <c r="D32" s="105" cm="1">
        <f t="array" ref="D32">SUM(--(C5:C29="x"))</f>
        <v>0</v>
      </c>
      <c r="E32" s="105"/>
      <c r="F32" s="104">
        <f>SUM(D5:D29)</f>
        <v>121000</v>
      </c>
      <c r="G32" s="104"/>
      <c r="H32" s="104"/>
      <c r="I32" s="103">
        <f>M32/MIN(F32,Förderrechner_neu!F8)</f>
        <v>0.45</v>
      </c>
      <c r="J32" s="103"/>
      <c r="K32" s="104">
        <f>Förderrechner_neu!F8</f>
        <v>60000</v>
      </c>
      <c r="L32" s="104"/>
      <c r="M32" s="38">
        <f>SUM(M5:M29)</f>
        <v>27000</v>
      </c>
    </row>
    <row r="33" spans="1:13" ht="30" customHeight="1" thickBot="1">
      <c r="A33" s="13"/>
      <c r="C33" s="13"/>
      <c r="D33" s="13"/>
      <c r="E33" s="99" t="s">
        <v>32</v>
      </c>
      <c r="F33" s="99"/>
      <c r="G33" s="99"/>
      <c r="H33" s="99"/>
      <c r="I33" s="99"/>
      <c r="J33" s="99"/>
      <c r="K33" s="99"/>
      <c r="L33" s="99"/>
      <c r="M33" s="39">
        <f>Förderrechner_neu!F26</f>
        <v>0</v>
      </c>
    </row>
    <row r="34" spans="1:13" ht="15.75" customHeight="1" thickTop="1">
      <c r="E34" s="100" t="str">
        <f>"Förderbetrag ("&amp;ROUND(M34/(K32),3)*100&amp;" % der Gesamtinvestition):"</f>
        <v>Förderbetrag (45 % der Gesamtinvestition):</v>
      </c>
      <c r="F34" s="100"/>
      <c r="G34" s="100"/>
      <c r="H34" s="100"/>
      <c r="I34" s="100"/>
      <c r="J34" s="100"/>
      <c r="K34" s="100"/>
      <c r="L34" s="100"/>
      <c r="M34" s="40">
        <f>M32+M33</f>
        <v>27000</v>
      </c>
    </row>
    <row r="35" spans="1:13" ht="15.75" customHeight="1">
      <c r="A35" s="13"/>
      <c r="C35" s="13"/>
      <c r="D35" s="13"/>
    </row>
    <row r="36" spans="1:13" ht="21">
      <c r="A36" s="109" t="str">
        <f>H2</f>
        <v/>
      </c>
      <c r="B36" s="109"/>
      <c r="C36" s="109"/>
      <c r="D36" s="109"/>
      <c r="E36" s="109"/>
      <c r="F36" s="109"/>
      <c r="G36" s="109"/>
      <c r="H36" s="109"/>
      <c r="I36" s="109"/>
      <c r="J36" s="109"/>
      <c r="K36" s="109"/>
      <c r="L36" s="109"/>
      <c r="M36" s="109"/>
    </row>
    <row r="37" spans="1:13" ht="60" customHeight="1">
      <c r="A37" s="106" t="s">
        <v>47</v>
      </c>
      <c r="B37" s="81"/>
      <c r="C37" s="81"/>
      <c r="D37" s="81"/>
      <c r="E37" s="81"/>
      <c r="F37" s="81"/>
      <c r="G37" s="81"/>
      <c r="H37" s="81"/>
      <c r="I37" s="81"/>
      <c r="J37" s="81"/>
      <c r="K37" s="81"/>
      <c r="L37" s="81"/>
      <c r="M37" s="81"/>
    </row>
  </sheetData>
  <sheetProtection algorithmName="SHA-512" hashValue="nW/mqk2TqwCU27JdpF12PVO5+AJznVaiLFma5Kyqne3bT9QmsyzGxi+AJovH1sU6r72ACmaDEcjg/4jPVmatbg==" saltValue="tFOfJ5RCVDUShSkxWuv2gA==" spinCount="100000" sheet="1" objects="1" scenarios="1"/>
  <mergeCells count="27">
    <mergeCell ref="A37:M37"/>
    <mergeCell ref="H2:M2"/>
    <mergeCell ref="A2:G2"/>
    <mergeCell ref="A36:M36"/>
    <mergeCell ref="M3:M4"/>
    <mergeCell ref="L3:L4"/>
    <mergeCell ref="J3:J4"/>
    <mergeCell ref="F3:F4"/>
    <mergeCell ref="K3:K4"/>
    <mergeCell ref="B31:C31"/>
    <mergeCell ref="D31:E31"/>
    <mergeCell ref="C3:C4"/>
    <mergeCell ref="B3:B4"/>
    <mergeCell ref="D3:E3"/>
    <mergeCell ref="G3:I3"/>
    <mergeCell ref="A3:A4"/>
    <mergeCell ref="E33:L33"/>
    <mergeCell ref="E34:L34"/>
    <mergeCell ref="A30:M30"/>
    <mergeCell ref="F31:H31"/>
    <mergeCell ref="I31:J31"/>
    <mergeCell ref="K31:L31"/>
    <mergeCell ref="I32:J32"/>
    <mergeCell ref="F32:H32"/>
    <mergeCell ref="K32:L32"/>
    <mergeCell ref="D32:E32"/>
    <mergeCell ref="B32:C32"/>
  </mergeCells>
  <pageMargins left="0.7" right="0.7" top="0.78740157499999996" bottom="0.78740157499999996" header="0.3" footer="0.3"/>
  <pageSetup paperSize="9" orientation="portrait" r:id="rId1"/>
  <headerFooter>
    <oddFooter xml:space="preserve">&amp;L&amp;8© Öko-Zentrum NRW GmbH, 01/2024 - Alle Rechte vorbehalten. Für die Berechnungsergebnisse wird keine Haftung übernommen.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Förderrechner_neu</vt:lpstr>
      <vt:lpstr>Übersicht Wohngebäude</vt:lpstr>
    </vt:vector>
  </TitlesOfParts>
  <Manager/>
  <Company>Öko-Zentrum NRW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Förderrechner BEG EM Heizung 2023 2024</dc:title>
  <dc:subject/>
  <dc:creator>David Könnig;Markus Hagenkamp - Öko-Zentrum NRW GmbH</dc:creator>
  <cp:keywords/>
  <dc:description/>
  <cp:lastModifiedBy>claudiusschnee</cp:lastModifiedBy>
  <cp:revision/>
  <cp:lastPrinted>2023-11-27T09:37:35Z</cp:lastPrinted>
  <dcterms:created xsi:type="dcterms:W3CDTF">2023-07-21T11:09:02Z</dcterms:created>
  <dcterms:modified xsi:type="dcterms:W3CDTF">2024-02-03T15:49:12Z</dcterms:modified>
  <cp:category/>
  <cp:contentStatus/>
</cp:coreProperties>
</file>