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comments1.xml" ContentType="application/vnd.openxmlformats-officedocument.spreadsheetml.comments+xml"/>
  <Override PartName="/xl/comments2.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726"/>
  <workbookPr codeName="DieseArbeitsmappe" defaultThemeVersion="166925"/>
  <mc:AlternateContent xmlns:mc="http://schemas.openxmlformats.org/markup-compatibility/2006">
    <mc:Choice Requires="x15">
      <x15ac:absPath xmlns:x15ac="http://schemas.microsoft.com/office/spreadsheetml/2010/11/ac" url="O:\AKTENSTRUKTUR\4.6311 KEA Hamm\02_Handlungsfelder\02_Bauen\Beratungsnetzwerk + Heizung\"/>
    </mc:Choice>
  </mc:AlternateContent>
  <xr:revisionPtr revIDLastSave="0" documentId="13_ncr:1_{9363947F-F4FE-4E00-8E15-37DB4D220340}" xr6:coauthVersionLast="47" xr6:coauthVersionMax="47" xr10:uidLastSave="{00000000-0000-0000-0000-000000000000}"/>
  <workbookProtection workbookAlgorithmName="SHA-512" workbookHashValue="2ukSewS+odyUeOiLaLlx2NDXa+V2WboUY2Kuu0x/IfFFOJOt5QSGQHKIRX/bjIffL9K2SLCCicI5hQazid2hVg==" workbookSaltValue="Wr1bntKkRdbChnEowtO95w==" workbookSpinCount="100000" lockStructure="1"/>
  <bookViews>
    <workbookView xWindow="-110" yWindow="-110" windowWidth="19420" windowHeight="10560" xr2:uid="{CE0EC318-2A34-400C-83C1-E8929E012DD2}"/>
  </bookViews>
  <sheets>
    <sheet name="Förderrechner" sheetId="3" r:id="rId1"/>
    <sheet name="Detailrechnung WEG" sheetId="5" r:id="rId2"/>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9" i="3" l="1"/>
  <c r="A1" i="5"/>
  <c r="A18" i="3"/>
  <c r="B25" i="5"/>
  <c r="E25" i="5" s="1"/>
  <c r="C25" i="5"/>
  <c r="G25" i="5" s="1"/>
  <c r="B26" i="5"/>
  <c r="E26" i="5" s="1"/>
  <c r="C26" i="5"/>
  <c r="G26" i="5" s="1"/>
  <c r="B27" i="5"/>
  <c r="E27" i="5" s="1"/>
  <c r="C27" i="5"/>
  <c r="G27" i="5" s="1"/>
  <c r="B28" i="5"/>
  <c r="E28" i="5" s="1"/>
  <c r="C28" i="5"/>
  <c r="G28" i="5" s="1"/>
  <c r="B29" i="5"/>
  <c r="E29" i="5" s="1"/>
  <c r="C29" i="5"/>
  <c r="G29" i="5" s="1"/>
  <c r="B30" i="5"/>
  <c r="E30" i="5" s="1"/>
  <c r="C30" i="5"/>
  <c r="G30" i="5" s="1"/>
  <c r="B31" i="5"/>
  <c r="E31" i="5" s="1"/>
  <c r="C31" i="5"/>
  <c r="G31" i="5" s="1"/>
  <c r="B32" i="5"/>
  <c r="E32" i="5" s="1"/>
  <c r="C32" i="5"/>
  <c r="G32" i="5" s="1"/>
  <c r="B33" i="5"/>
  <c r="C33" i="5"/>
  <c r="G33" i="5" s="1"/>
  <c r="B34" i="5"/>
  <c r="C34" i="5"/>
  <c r="G34" i="5" s="1"/>
  <c r="B35" i="5"/>
  <c r="E35" i="5" s="1"/>
  <c r="C35" i="5"/>
  <c r="G35" i="5" s="1"/>
  <c r="B36" i="5"/>
  <c r="E36" i="5" s="1"/>
  <c r="C36" i="5"/>
  <c r="G36" i="5" s="1"/>
  <c r="B37" i="5"/>
  <c r="E37" i="5" s="1"/>
  <c r="C37" i="5"/>
  <c r="G37" i="5" s="1"/>
  <c r="B38" i="5"/>
  <c r="E38" i="5" s="1"/>
  <c r="C38" i="5"/>
  <c r="G38" i="5" s="1"/>
  <c r="B39" i="5"/>
  <c r="E39" i="5" s="1"/>
  <c r="C39" i="5"/>
  <c r="G39" i="5" s="1"/>
  <c r="B40" i="5"/>
  <c r="E40" i="5" s="1"/>
  <c r="C40" i="5"/>
  <c r="G40" i="5" s="1"/>
  <c r="B41" i="5"/>
  <c r="E41" i="5" s="1"/>
  <c r="C41" i="5"/>
  <c r="G41" i="5" s="1"/>
  <c r="B42" i="5"/>
  <c r="E42" i="5" s="1"/>
  <c r="C42" i="5"/>
  <c r="G42" i="5" s="1"/>
  <c r="B43" i="5"/>
  <c r="E43" i="5" s="1"/>
  <c r="C43" i="5"/>
  <c r="G43" i="5" s="1"/>
  <c r="B44" i="5"/>
  <c r="E44" i="5" s="1"/>
  <c r="C44" i="5"/>
  <c r="G44" i="5" s="1"/>
  <c r="B45" i="5"/>
  <c r="C45" i="5"/>
  <c r="G45" i="5" s="1"/>
  <c r="B46" i="5"/>
  <c r="C46" i="5"/>
  <c r="G46" i="5" s="1"/>
  <c r="B47" i="5"/>
  <c r="E47" i="5" s="1"/>
  <c r="C47" i="5"/>
  <c r="G47" i="5" s="1"/>
  <c r="B48" i="5"/>
  <c r="E48" i="5" s="1"/>
  <c r="C48" i="5"/>
  <c r="G48" i="5" s="1"/>
  <c r="B49" i="5"/>
  <c r="E49" i="5" s="1"/>
  <c r="C49" i="5"/>
  <c r="G49" i="5" s="1"/>
  <c r="B50" i="5"/>
  <c r="E50" i="5" s="1"/>
  <c r="C50" i="5"/>
  <c r="G50" i="5" s="1"/>
  <c r="B51" i="5"/>
  <c r="E51" i="5" s="1"/>
  <c r="C51" i="5"/>
  <c r="G51" i="5" s="1"/>
  <c r="B52" i="5"/>
  <c r="E52" i="5" s="1"/>
  <c r="C52" i="5"/>
  <c r="G52" i="5" s="1"/>
  <c r="B53" i="5"/>
  <c r="E53" i="5" s="1"/>
  <c r="C53" i="5"/>
  <c r="G53" i="5" s="1"/>
  <c r="B54" i="5"/>
  <c r="E54" i="5" s="1"/>
  <c r="C54" i="5"/>
  <c r="G54" i="5" s="1"/>
  <c r="B55" i="5"/>
  <c r="C55" i="5"/>
  <c r="G55" i="5" s="1"/>
  <c r="B56" i="5"/>
  <c r="E56" i="5" s="1"/>
  <c r="C56" i="5"/>
  <c r="G56" i="5" s="1"/>
  <c r="B57" i="5"/>
  <c r="C57" i="5"/>
  <c r="G57" i="5" s="1"/>
  <c r="B58" i="5"/>
  <c r="C58" i="5"/>
  <c r="G58" i="5" s="1"/>
  <c r="B59" i="5"/>
  <c r="E59" i="5" s="1"/>
  <c r="C59" i="5"/>
  <c r="G59" i="5" s="1"/>
  <c r="B60" i="5"/>
  <c r="C60" i="5"/>
  <c r="G60" i="5" s="1"/>
  <c r="B61" i="5"/>
  <c r="E61" i="5" s="1"/>
  <c r="C61" i="5"/>
  <c r="G61" i="5" s="1"/>
  <c r="B62" i="5"/>
  <c r="E62" i="5" s="1"/>
  <c r="C62" i="5"/>
  <c r="G62" i="5" s="1"/>
  <c r="B63" i="5"/>
  <c r="E63" i="5" s="1"/>
  <c r="C63" i="5"/>
  <c r="G63" i="5" s="1"/>
  <c r="B64" i="5"/>
  <c r="E64" i="5" s="1"/>
  <c r="C64" i="5"/>
  <c r="G64" i="5" s="1"/>
  <c r="B65" i="5"/>
  <c r="E65" i="5" s="1"/>
  <c r="C65" i="5"/>
  <c r="G65" i="5" s="1"/>
  <c r="B66" i="5"/>
  <c r="E66" i="5" s="1"/>
  <c r="C66" i="5"/>
  <c r="G66" i="5" s="1"/>
  <c r="B67" i="5"/>
  <c r="E67" i="5" s="1"/>
  <c r="C67" i="5"/>
  <c r="G67" i="5" s="1"/>
  <c r="B68" i="5"/>
  <c r="E68" i="5" s="1"/>
  <c r="C68" i="5"/>
  <c r="G68" i="5" s="1"/>
  <c r="B69" i="5"/>
  <c r="C69" i="5"/>
  <c r="G69" i="5" s="1"/>
  <c r="B70" i="5"/>
  <c r="C70" i="5"/>
  <c r="G70" i="5" s="1"/>
  <c r="B71" i="5"/>
  <c r="E71" i="5" s="1"/>
  <c r="C71" i="5"/>
  <c r="G71" i="5" s="1"/>
  <c r="B72" i="5"/>
  <c r="E72" i="5" s="1"/>
  <c r="C72" i="5"/>
  <c r="G72" i="5" s="1"/>
  <c r="B73" i="5"/>
  <c r="E73" i="5" s="1"/>
  <c r="C73" i="5"/>
  <c r="G73" i="5" s="1"/>
  <c r="B74" i="5"/>
  <c r="E74" i="5" s="1"/>
  <c r="C74" i="5"/>
  <c r="G74" i="5" s="1"/>
  <c r="B75" i="5"/>
  <c r="E75" i="5" s="1"/>
  <c r="C75" i="5"/>
  <c r="G75" i="5" s="1"/>
  <c r="B76" i="5"/>
  <c r="E76" i="5" s="1"/>
  <c r="C76" i="5"/>
  <c r="G76" i="5" s="1"/>
  <c r="B77" i="5"/>
  <c r="E77" i="5" s="1"/>
  <c r="C77" i="5"/>
  <c r="G77" i="5" s="1"/>
  <c r="B78" i="5"/>
  <c r="E78" i="5" s="1"/>
  <c r="C78" i="5"/>
  <c r="G78" i="5" s="1"/>
  <c r="B79" i="5"/>
  <c r="E79" i="5" s="1"/>
  <c r="C79" i="5"/>
  <c r="G79" i="5" s="1"/>
  <c r="B80" i="5"/>
  <c r="E80" i="5" s="1"/>
  <c r="C80" i="5"/>
  <c r="G80" i="5" s="1"/>
  <c r="B81" i="5"/>
  <c r="C81" i="5"/>
  <c r="G81" i="5" s="1"/>
  <c r="B82" i="5"/>
  <c r="C82" i="5"/>
  <c r="G82" i="5" s="1"/>
  <c r="B83" i="5"/>
  <c r="E83" i="5" s="1"/>
  <c r="C83" i="5"/>
  <c r="G83" i="5" s="1"/>
  <c r="B84" i="5"/>
  <c r="E84" i="5" s="1"/>
  <c r="C84" i="5"/>
  <c r="G84" i="5" s="1"/>
  <c r="B85" i="5"/>
  <c r="E85" i="5" s="1"/>
  <c r="C85" i="5"/>
  <c r="G85" i="5" s="1"/>
  <c r="B86" i="5"/>
  <c r="E86" i="5" s="1"/>
  <c r="C86" i="5"/>
  <c r="G86" i="5" s="1"/>
  <c r="B87" i="5"/>
  <c r="E87" i="5" s="1"/>
  <c r="C87" i="5"/>
  <c r="G87" i="5" s="1"/>
  <c r="B88" i="5"/>
  <c r="E88" i="5" s="1"/>
  <c r="C88" i="5"/>
  <c r="G88" i="5" s="1"/>
  <c r="B89" i="5"/>
  <c r="E89" i="5" s="1"/>
  <c r="C89" i="5"/>
  <c r="G89" i="5" s="1"/>
  <c r="B90" i="5"/>
  <c r="E90" i="5" s="1"/>
  <c r="C90" i="5"/>
  <c r="G90" i="5" s="1"/>
  <c r="B91" i="5"/>
  <c r="E91" i="5" s="1"/>
  <c r="C91" i="5"/>
  <c r="G91" i="5" s="1"/>
  <c r="B92" i="5"/>
  <c r="E92" i="5" s="1"/>
  <c r="C92" i="5"/>
  <c r="G92" i="5" s="1"/>
  <c r="B93" i="5"/>
  <c r="C93" i="5"/>
  <c r="G93" i="5" s="1"/>
  <c r="B94" i="5"/>
  <c r="C94" i="5"/>
  <c r="G94" i="5" s="1"/>
  <c r="B95" i="5"/>
  <c r="E95" i="5" s="1"/>
  <c r="C95" i="5"/>
  <c r="G95" i="5" s="1"/>
  <c r="B96" i="5"/>
  <c r="C96" i="5"/>
  <c r="G96" i="5" s="1"/>
  <c r="B97" i="5"/>
  <c r="E97" i="5" s="1"/>
  <c r="C97" i="5"/>
  <c r="G97" i="5" s="1"/>
  <c r="B98" i="5"/>
  <c r="E98" i="5" s="1"/>
  <c r="C98" i="5"/>
  <c r="G98" i="5" s="1"/>
  <c r="B99" i="5"/>
  <c r="E99" i="5" s="1"/>
  <c r="C99" i="5"/>
  <c r="G99" i="5" s="1"/>
  <c r="B100" i="5"/>
  <c r="E100" i="5" s="1"/>
  <c r="C100" i="5"/>
  <c r="G100" i="5" s="1"/>
  <c r="B101" i="5"/>
  <c r="E101" i="5" s="1"/>
  <c r="C101" i="5"/>
  <c r="G101" i="5" s="1"/>
  <c r="B102" i="5"/>
  <c r="E102" i="5" s="1"/>
  <c r="C102" i="5"/>
  <c r="G102" i="5" s="1"/>
  <c r="B103" i="5"/>
  <c r="E103" i="5" s="1"/>
  <c r="C103" i="5"/>
  <c r="G103" i="5" s="1"/>
  <c r="B104" i="5"/>
  <c r="E104" i="5" s="1"/>
  <c r="C104" i="5"/>
  <c r="G104" i="5" s="1"/>
  <c r="B105" i="5"/>
  <c r="C105" i="5"/>
  <c r="G105" i="5" s="1"/>
  <c r="B106" i="5"/>
  <c r="C106" i="5"/>
  <c r="G106" i="5" s="1"/>
  <c r="B107" i="5"/>
  <c r="E107" i="5" s="1"/>
  <c r="C107" i="5"/>
  <c r="G107" i="5" s="1"/>
  <c r="B108" i="5"/>
  <c r="E108" i="5" s="1"/>
  <c r="C108" i="5"/>
  <c r="G108" i="5" s="1"/>
  <c r="B109" i="5"/>
  <c r="E109" i="5" s="1"/>
  <c r="C109" i="5"/>
  <c r="G109" i="5" s="1"/>
  <c r="B110" i="5"/>
  <c r="E110" i="5" s="1"/>
  <c r="C110" i="5"/>
  <c r="G110" i="5" s="1"/>
  <c r="B111" i="5"/>
  <c r="E111" i="5" s="1"/>
  <c r="C111" i="5"/>
  <c r="G111" i="5" s="1"/>
  <c r="B112" i="5"/>
  <c r="E112" i="5" s="1"/>
  <c r="C112" i="5"/>
  <c r="G112" i="5" s="1"/>
  <c r="B113" i="5"/>
  <c r="E113" i="5" s="1"/>
  <c r="C113" i="5"/>
  <c r="G113" i="5" s="1"/>
  <c r="B114" i="5"/>
  <c r="E114" i="5" s="1"/>
  <c r="C114" i="5"/>
  <c r="G114" i="5" s="1"/>
  <c r="B115" i="5"/>
  <c r="E115" i="5" s="1"/>
  <c r="C115" i="5"/>
  <c r="G115" i="5" s="1"/>
  <c r="B116" i="5"/>
  <c r="E116" i="5" s="1"/>
  <c r="C116" i="5"/>
  <c r="G116" i="5" s="1"/>
  <c r="B117" i="5"/>
  <c r="C117" i="5"/>
  <c r="G117" i="5" s="1"/>
  <c r="B118" i="5"/>
  <c r="C118" i="5"/>
  <c r="G118" i="5" s="1"/>
  <c r="B119" i="5"/>
  <c r="E119" i="5" s="1"/>
  <c r="C119" i="5"/>
  <c r="G119" i="5" s="1"/>
  <c r="B120" i="5"/>
  <c r="C120" i="5"/>
  <c r="G120" i="5" s="1"/>
  <c r="B121" i="5"/>
  <c r="E121" i="5" s="1"/>
  <c r="C121" i="5"/>
  <c r="G121" i="5" s="1"/>
  <c r="B122" i="5"/>
  <c r="E122" i="5" s="1"/>
  <c r="C122" i="5"/>
  <c r="G122" i="5" s="1"/>
  <c r="B123" i="5"/>
  <c r="E123" i="5" s="1"/>
  <c r="C123" i="5"/>
  <c r="G123" i="5" s="1"/>
  <c r="B124" i="5"/>
  <c r="E124" i="5" s="1"/>
  <c r="C124" i="5"/>
  <c r="G124" i="5" s="1"/>
  <c r="B125" i="5"/>
  <c r="E125" i="5" s="1"/>
  <c r="C125" i="5"/>
  <c r="G125" i="5" s="1"/>
  <c r="B126" i="5"/>
  <c r="E126" i="5" s="1"/>
  <c r="C126" i="5"/>
  <c r="G126" i="5" s="1"/>
  <c r="B127" i="5"/>
  <c r="E127" i="5" s="1"/>
  <c r="C127" i="5"/>
  <c r="G127" i="5" s="1"/>
  <c r="B128" i="5"/>
  <c r="E128" i="5" s="1"/>
  <c r="C128" i="5"/>
  <c r="G128" i="5" s="1"/>
  <c r="B129" i="5"/>
  <c r="C129" i="5"/>
  <c r="G129" i="5" s="1"/>
  <c r="B130" i="5"/>
  <c r="C130" i="5"/>
  <c r="G130" i="5" s="1"/>
  <c r="B131" i="5"/>
  <c r="E131" i="5" s="1"/>
  <c r="C131" i="5"/>
  <c r="G131" i="5" s="1"/>
  <c r="B132" i="5"/>
  <c r="E132" i="5" s="1"/>
  <c r="C132" i="5"/>
  <c r="G132" i="5" s="1"/>
  <c r="B133" i="5"/>
  <c r="E133" i="5" s="1"/>
  <c r="C133" i="5"/>
  <c r="G133" i="5" s="1"/>
  <c r="B134" i="5"/>
  <c r="E134" i="5" s="1"/>
  <c r="C134" i="5"/>
  <c r="G134" i="5" s="1"/>
  <c r="B135" i="5"/>
  <c r="E135" i="5" s="1"/>
  <c r="C135" i="5"/>
  <c r="G135" i="5" s="1"/>
  <c r="B136" i="5"/>
  <c r="E136" i="5" s="1"/>
  <c r="C136" i="5"/>
  <c r="G136" i="5" s="1"/>
  <c r="B137" i="5"/>
  <c r="E137" i="5" s="1"/>
  <c r="C137" i="5"/>
  <c r="G137" i="5" s="1"/>
  <c r="B138" i="5"/>
  <c r="E138" i="5" s="1"/>
  <c r="C138" i="5"/>
  <c r="G138" i="5" s="1"/>
  <c r="B139" i="5"/>
  <c r="E139" i="5" s="1"/>
  <c r="C139" i="5"/>
  <c r="G139" i="5" s="1"/>
  <c r="B140" i="5"/>
  <c r="E140" i="5" s="1"/>
  <c r="C140" i="5"/>
  <c r="G140" i="5" s="1"/>
  <c r="B141" i="5"/>
  <c r="E141" i="5" s="1"/>
  <c r="C141" i="5"/>
  <c r="G141" i="5" s="1"/>
  <c r="B142" i="5"/>
  <c r="C142" i="5"/>
  <c r="G142" i="5" s="1"/>
  <c r="B143" i="5"/>
  <c r="E143" i="5" s="1"/>
  <c r="C143" i="5"/>
  <c r="G143" i="5" s="1"/>
  <c r="B144" i="5"/>
  <c r="C144" i="5"/>
  <c r="G144" i="5" s="1"/>
  <c r="B145" i="5"/>
  <c r="C145" i="5"/>
  <c r="G145" i="5" s="1"/>
  <c r="B146" i="5"/>
  <c r="C146" i="5"/>
  <c r="G146" i="5" s="1"/>
  <c r="B147" i="5"/>
  <c r="E147" i="5" s="1"/>
  <c r="C147" i="5"/>
  <c r="G147" i="5" s="1"/>
  <c r="A20" i="5"/>
  <c r="E55" i="5" l="1"/>
  <c r="I55" i="5" s="1"/>
  <c r="I138" i="5"/>
  <c r="I102" i="5"/>
  <c r="I90" i="5"/>
  <c r="I78" i="5"/>
  <c r="I66" i="5"/>
  <c r="I54" i="5"/>
  <c r="I42" i="5"/>
  <c r="I30" i="5"/>
  <c r="I101" i="5"/>
  <c r="I77" i="5"/>
  <c r="I65" i="5"/>
  <c r="I53" i="5"/>
  <c r="E145" i="5"/>
  <c r="I145" i="5" s="1"/>
  <c r="E144" i="5"/>
  <c r="I144" i="5" s="1"/>
  <c r="E120" i="5"/>
  <c r="I120" i="5" s="1"/>
  <c r="E96" i="5"/>
  <c r="I96" i="5" s="1"/>
  <c r="E60" i="5"/>
  <c r="I60" i="5" s="1"/>
  <c r="E142" i="5"/>
  <c r="I142" i="5" s="1"/>
  <c r="E130" i="5"/>
  <c r="I130" i="5" s="1"/>
  <c r="E118" i="5"/>
  <c r="I118" i="5" s="1"/>
  <c r="E106" i="5"/>
  <c r="I106" i="5" s="1"/>
  <c r="E94" i="5"/>
  <c r="I94" i="5" s="1"/>
  <c r="E82" i="5"/>
  <c r="I82" i="5" s="1"/>
  <c r="E70" i="5"/>
  <c r="I70" i="5" s="1"/>
  <c r="E58" i="5"/>
  <c r="I58" i="5" s="1"/>
  <c r="E46" i="5"/>
  <c r="I46" i="5" s="1"/>
  <c r="E34" i="5"/>
  <c r="I34" i="5" s="1"/>
  <c r="E129" i="5"/>
  <c r="I129" i="5" s="1"/>
  <c r="E117" i="5"/>
  <c r="I117" i="5" s="1"/>
  <c r="E105" i="5"/>
  <c r="I105" i="5" s="1"/>
  <c r="E93" i="5"/>
  <c r="I93" i="5" s="1"/>
  <c r="E81" i="5"/>
  <c r="I81" i="5" s="1"/>
  <c r="E69" i="5"/>
  <c r="I69" i="5" s="1"/>
  <c r="E57" i="5"/>
  <c r="I57" i="5" s="1"/>
  <c r="E45" i="5"/>
  <c r="I45" i="5" s="1"/>
  <c r="E33" i="5"/>
  <c r="I33" i="5" s="1"/>
  <c r="I141" i="5"/>
  <c r="I139" i="5"/>
  <c r="I91" i="5"/>
  <c r="I79" i="5"/>
  <c r="I43" i="5"/>
  <c r="I31" i="5"/>
  <c r="I143" i="5"/>
  <c r="I131" i="5"/>
  <c r="I119" i="5"/>
  <c r="I107" i="5"/>
  <c r="I95" i="5"/>
  <c r="I83" i="5"/>
  <c r="I71" i="5"/>
  <c r="I59" i="5"/>
  <c r="I47" i="5"/>
  <c r="I35" i="5"/>
  <c r="I114" i="5"/>
  <c r="I51" i="5"/>
  <c r="I111" i="5"/>
  <c r="I39" i="5"/>
  <c r="I140" i="5"/>
  <c r="I80" i="5"/>
  <c r="I68" i="5"/>
  <c r="I56" i="5"/>
  <c r="I44" i="5"/>
  <c r="I32" i="5"/>
  <c r="I135" i="5"/>
  <c r="I99" i="5"/>
  <c r="I63" i="5"/>
  <c r="I25" i="5"/>
  <c r="I132" i="5"/>
  <c r="I108" i="5"/>
  <c r="I84" i="5"/>
  <c r="I72" i="5"/>
  <c r="I48" i="5"/>
  <c r="I36" i="5"/>
  <c r="I27" i="5"/>
  <c r="I29" i="5"/>
  <c r="I104" i="5"/>
  <c r="I28" i="5"/>
  <c r="I76" i="5"/>
  <c r="I128" i="5"/>
  <c r="I115" i="5"/>
  <c r="I89" i="5"/>
  <c r="I137" i="5"/>
  <c r="I110" i="5"/>
  <c r="I113" i="5"/>
  <c r="I75" i="5"/>
  <c r="I116" i="5"/>
  <c r="I92" i="5"/>
  <c r="I100" i="5"/>
  <c r="I127" i="5"/>
  <c r="I64" i="5"/>
  <c r="I103" i="5"/>
  <c r="I88" i="5"/>
  <c r="I126" i="5"/>
  <c r="I87" i="5"/>
  <c r="I67" i="5"/>
  <c r="I136" i="5"/>
  <c r="I123" i="5"/>
  <c r="I86" i="5"/>
  <c r="I40" i="5"/>
  <c r="I147" i="5"/>
  <c r="I122" i="5"/>
  <c r="I112" i="5"/>
  <c r="I125" i="5"/>
  <c r="I41" i="5"/>
  <c r="I62" i="5"/>
  <c r="I52" i="5"/>
  <c r="I38" i="5"/>
  <c r="I133" i="5"/>
  <c r="I109" i="5"/>
  <c r="I61" i="5"/>
  <c r="I134" i="5"/>
  <c r="I98" i="5"/>
  <c r="I50" i="5"/>
  <c r="I73" i="5"/>
  <c r="I37" i="5"/>
  <c r="I124" i="5"/>
  <c r="I85" i="5"/>
  <c r="I74" i="5"/>
  <c r="I26" i="5"/>
  <c r="I97" i="5"/>
  <c r="I49" i="5"/>
  <c r="I121" i="5"/>
  <c r="C8" i="3" l="1"/>
  <c r="E8" i="3"/>
  <c r="F30" i="3" l="1"/>
  <c r="A18" i="5"/>
  <c r="E7" i="3"/>
  <c r="E9" i="3"/>
  <c r="A21" i="3"/>
  <c r="J17" i="5"/>
  <c r="J14" i="5"/>
  <c r="J15" i="5" s="1"/>
  <c r="A28" i="3"/>
  <c r="A24" i="3"/>
  <c r="J11" i="5"/>
  <c r="J13" i="5" l="1"/>
  <c r="H145" i="5"/>
  <c r="F145" i="5" s="1"/>
  <c r="J145" i="5" s="1"/>
  <c r="K145" i="5" s="1"/>
  <c r="H64" i="5"/>
  <c r="F64" i="5" s="1"/>
  <c r="J64" i="5" s="1"/>
  <c r="K64" i="5" s="1"/>
  <c r="H27" i="5"/>
  <c r="H104" i="5"/>
  <c r="F104" i="5" s="1"/>
  <c r="J104" i="5" s="1"/>
  <c r="K104" i="5" s="1"/>
  <c r="H35" i="5"/>
  <c r="F35" i="5" s="1"/>
  <c r="J35" i="5" s="1"/>
  <c r="K35" i="5" s="1"/>
  <c r="H106" i="5"/>
  <c r="F106" i="5" s="1"/>
  <c r="J106" i="5" s="1"/>
  <c r="K106" i="5" s="1"/>
  <c r="H101" i="5"/>
  <c r="F101" i="5" s="1"/>
  <c r="J101" i="5" s="1"/>
  <c r="K101" i="5" s="1"/>
  <c r="H42" i="5"/>
  <c r="F42" i="5" s="1"/>
  <c r="J42" i="5" s="1"/>
  <c r="K42" i="5" s="1"/>
  <c r="H54" i="5"/>
  <c r="F54" i="5" s="1"/>
  <c r="J54" i="5" s="1"/>
  <c r="K54" i="5" s="1"/>
  <c r="H121" i="5"/>
  <c r="F121" i="5" s="1"/>
  <c r="J121" i="5" s="1"/>
  <c r="K121" i="5" s="1"/>
  <c r="H110" i="5"/>
  <c r="H84" i="5"/>
  <c r="H131" i="5"/>
  <c r="F131" i="5" s="1"/>
  <c r="J131" i="5" s="1"/>
  <c r="K131" i="5" s="1"/>
  <c r="H55" i="5"/>
  <c r="H60" i="5"/>
  <c r="F60" i="5" s="1"/>
  <c r="J60" i="5" s="1"/>
  <c r="K60" i="5" s="1"/>
  <c r="H58" i="5"/>
  <c r="F58" i="5" s="1"/>
  <c r="J58" i="5" s="1"/>
  <c r="K58" i="5" s="1"/>
  <c r="H123" i="5"/>
  <c r="F123" i="5" s="1"/>
  <c r="J123" i="5" s="1"/>
  <c r="K123" i="5" s="1"/>
  <c r="H147" i="5"/>
  <c r="F147" i="5" s="1"/>
  <c r="J147" i="5" s="1"/>
  <c r="K147" i="5" s="1"/>
  <c r="H98" i="5"/>
  <c r="H34" i="5"/>
  <c r="H119" i="5"/>
  <c r="H68" i="5"/>
  <c r="H78" i="5"/>
  <c r="F78" i="5" s="1"/>
  <c r="J78" i="5" s="1"/>
  <c r="K78" i="5" s="1"/>
  <c r="H114" i="5"/>
  <c r="F114" i="5" s="1"/>
  <c r="J114" i="5" s="1"/>
  <c r="K114" i="5" s="1"/>
  <c r="H142" i="5"/>
  <c r="F142" i="5" s="1"/>
  <c r="J142" i="5" s="1"/>
  <c r="K142" i="5" s="1"/>
  <c r="H132" i="5"/>
  <c r="H33" i="5"/>
  <c r="F33" i="5" s="1"/>
  <c r="J33" i="5" s="1"/>
  <c r="K33" i="5" s="1"/>
  <c r="H41" i="5"/>
  <c r="F41" i="5" s="1"/>
  <c r="J41" i="5" s="1"/>
  <c r="K41" i="5" s="1"/>
  <c r="H52" i="5"/>
  <c r="F52" i="5" s="1"/>
  <c r="J52" i="5" s="1"/>
  <c r="K52" i="5" s="1"/>
  <c r="H76" i="5"/>
  <c r="F76" i="5" s="1"/>
  <c r="J76" i="5" s="1"/>
  <c r="K76" i="5" s="1"/>
  <c r="H69" i="5"/>
  <c r="H129" i="5"/>
  <c r="F129" i="5" s="1"/>
  <c r="J129" i="5" s="1"/>
  <c r="K129" i="5" s="1"/>
  <c r="H92" i="5"/>
  <c r="H59" i="5"/>
  <c r="H80" i="5"/>
  <c r="F80" i="5" s="1"/>
  <c r="J80" i="5" s="1"/>
  <c r="K80" i="5" s="1"/>
  <c r="H73" i="5"/>
  <c r="F73" i="5" s="1"/>
  <c r="J73" i="5" s="1"/>
  <c r="K73" i="5" s="1"/>
  <c r="H26" i="5"/>
  <c r="F26" i="5" s="1"/>
  <c r="J26" i="5" s="1"/>
  <c r="K26" i="5" s="1"/>
  <c r="H25" i="5"/>
  <c r="F25" i="5" s="1"/>
  <c r="H75" i="5"/>
  <c r="F75" i="5" s="1"/>
  <c r="J75" i="5" s="1"/>
  <c r="K75" i="5" s="1"/>
  <c r="H44" i="5"/>
  <c r="H67" i="5"/>
  <c r="F67" i="5" s="1"/>
  <c r="J67" i="5" s="1"/>
  <c r="K67" i="5" s="1"/>
  <c r="H29" i="5"/>
  <c r="F29" i="5" s="1"/>
  <c r="J29" i="5" s="1"/>
  <c r="K29" i="5" s="1"/>
  <c r="H105" i="5"/>
  <c r="H86" i="5"/>
  <c r="H43" i="5"/>
  <c r="H107" i="5"/>
  <c r="H65" i="5"/>
  <c r="F65" i="5" s="1"/>
  <c r="J65" i="5" s="1"/>
  <c r="K65" i="5" s="1"/>
  <c r="H133" i="5"/>
  <c r="F133" i="5" s="1"/>
  <c r="J133" i="5" s="1"/>
  <c r="K133" i="5" s="1"/>
  <c r="H95" i="5"/>
  <c r="F95" i="5" s="1"/>
  <c r="J95" i="5" s="1"/>
  <c r="K95" i="5" s="1"/>
  <c r="H97" i="5"/>
  <c r="F97" i="5" s="1"/>
  <c r="J97" i="5" s="1"/>
  <c r="K97" i="5" s="1"/>
  <c r="H96" i="5"/>
  <c r="F96" i="5" s="1"/>
  <c r="J96" i="5" s="1"/>
  <c r="K96" i="5" s="1"/>
  <c r="H144" i="5"/>
  <c r="F144" i="5" s="1"/>
  <c r="J144" i="5" s="1"/>
  <c r="K144" i="5" s="1"/>
  <c r="H103" i="5"/>
  <c r="H40" i="5"/>
  <c r="F40" i="5" s="1"/>
  <c r="J40" i="5" s="1"/>
  <c r="K40" i="5" s="1"/>
  <c r="H87" i="5"/>
  <c r="F87" i="5" s="1"/>
  <c r="J87" i="5" s="1"/>
  <c r="K87" i="5" s="1"/>
  <c r="H74" i="5"/>
  <c r="H83" i="5"/>
  <c r="H141" i="5"/>
  <c r="F141" i="5" s="1"/>
  <c r="J141" i="5" s="1"/>
  <c r="K141" i="5" s="1"/>
  <c r="H72" i="5"/>
  <c r="F72" i="5" s="1"/>
  <c r="J72" i="5" s="1"/>
  <c r="K72" i="5" s="1"/>
  <c r="H85" i="5"/>
  <c r="F85" i="5" s="1"/>
  <c r="J85" i="5" s="1"/>
  <c r="K85" i="5" s="1"/>
  <c r="H127" i="5"/>
  <c r="H136" i="5"/>
  <c r="H81" i="5"/>
  <c r="F81" i="5" s="1"/>
  <c r="J81" i="5" s="1"/>
  <c r="K81" i="5" s="1"/>
  <c r="H62" i="5"/>
  <c r="H51" i="5"/>
  <c r="F51" i="5" s="1"/>
  <c r="J51" i="5" s="1"/>
  <c r="K51" i="5" s="1"/>
  <c r="H111" i="5"/>
  <c r="F111" i="5" s="1"/>
  <c r="J111" i="5" s="1"/>
  <c r="K111" i="5" s="1"/>
  <c r="H139" i="5"/>
  <c r="F139" i="5" s="1"/>
  <c r="J139" i="5" s="1"/>
  <c r="K139" i="5" s="1"/>
  <c r="H138" i="5"/>
  <c r="F138" i="5" s="1"/>
  <c r="J138" i="5" s="1"/>
  <c r="K138" i="5" s="1"/>
  <c r="H143" i="5"/>
  <c r="F143" i="5" s="1"/>
  <c r="J143" i="5" s="1"/>
  <c r="K143" i="5" s="1"/>
  <c r="H126" i="5"/>
  <c r="F126" i="5" s="1"/>
  <c r="J126" i="5" s="1"/>
  <c r="K126" i="5" s="1"/>
  <c r="H137" i="5"/>
  <c r="F137" i="5" s="1"/>
  <c r="J137" i="5" s="1"/>
  <c r="K137" i="5" s="1"/>
  <c r="H124" i="5"/>
  <c r="F124" i="5" s="1"/>
  <c r="J124" i="5" s="1"/>
  <c r="K124" i="5" s="1"/>
  <c r="H28" i="5"/>
  <c r="F28" i="5" s="1"/>
  <c r="J28" i="5" s="1"/>
  <c r="K28" i="5" s="1"/>
  <c r="H57" i="5"/>
  <c r="H50" i="5"/>
  <c r="H135" i="5"/>
  <c r="F135" i="5" s="1"/>
  <c r="J135" i="5" s="1"/>
  <c r="K135" i="5" s="1"/>
  <c r="H53" i="5"/>
  <c r="F53" i="5" s="1"/>
  <c r="J53" i="5" s="1"/>
  <c r="K53" i="5" s="1"/>
  <c r="H79" i="5"/>
  <c r="H99" i="5"/>
  <c r="F99" i="5" s="1"/>
  <c r="J99" i="5" s="1"/>
  <c r="K99" i="5" s="1"/>
  <c r="H109" i="5"/>
  <c r="F109" i="5" s="1"/>
  <c r="J109" i="5" s="1"/>
  <c r="K109" i="5" s="1"/>
  <c r="H146" i="5"/>
  <c r="F146" i="5" s="1"/>
  <c r="J146" i="5" s="1"/>
  <c r="H37" i="5"/>
  <c r="F37" i="5" s="1"/>
  <c r="J37" i="5" s="1"/>
  <c r="K37" i="5" s="1"/>
  <c r="H47" i="5"/>
  <c r="F47" i="5" s="1"/>
  <c r="J47" i="5" s="1"/>
  <c r="K47" i="5" s="1"/>
  <c r="H49" i="5"/>
  <c r="F49" i="5" s="1"/>
  <c r="J49" i="5" s="1"/>
  <c r="K49" i="5" s="1"/>
  <c r="H46" i="5"/>
  <c r="F46" i="5" s="1"/>
  <c r="J46" i="5" s="1"/>
  <c r="K46" i="5" s="1"/>
  <c r="H102" i="5"/>
  <c r="F102" i="5" s="1"/>
  <c r="J102" i="5" s="1"/>
  <c r="K102" i="5" s="1"/>
  <c r="H88" i="5"/>
  <c r="F88" i="5" s="1"/>
  <c r="J88" i="5" s="1"/>
  <c r="K88" i="5" s="1"/>
  <c r="H120" i="5"/>
  <c r="H125" i="5"/>
  <c r="F125" i="5" s="1"/>
  <c r="J125" i="5" s="1"/>
  <c r="K125" i="5" s="1"/>
  <c r="H112" i="5"/>
  <c r="F112" i="5" s="1"/>
  <c r="J112" i="5" s="1"/>
  <c r="K112" i="5" s="1"/>
  <c r="H117" i="5"/>
  <c r="H134" i="5"/>
  <c r="H38" i="5"/>
  <c r="H36" i="5"/>
  <c r="F36" i="5" s="1"/>
  <c r="J36" i="5" s="1"/>
  <c r="K36" i="5" s="1"/>
  <c r="H30" i="5"/>
  <c r="F30" i="5" s="1"/>
  <c r="J30" i="5" s="1"/>
  <c r="K30" i="5" s="1"/>
  <c r="H82" i="5"/>
  <c r="F82" i="5" s="1"/>
  <c r="J82" i="5" s="1"/>
  <c r="K82" i="5" s="1"/>
  <c r="H140" i="5"/>
  <c r="H118" i="5"/>
  <c r="F118" i="5" s="1"/>
  <c r="J118" i="5" s="1"/>
  <c r="K118" i="5" s="1"/>
  <c r="H63" i="5"/>
  <c r="F63" i="5" s="1"/>
  <c r="J63" i="5" s="1"/>
  <c r="K63" i="5" s="1"/>
  <c r="H71" i="5"/>
  <c r="F71" i="5" s="1"/>
  <c r="J71" i="5" s="1"/>
  <c r="K71" i="5" s="1"/>
  <c r="H108" i="5"/>
  <c r="F108" i="5" s="1"/>
  <c r="J108" i="5" s="1"/>
  <c r="K108" i="5" s="1"/>
  <c r="H61" i="5"/>
  <c r="F61" i="5" s="1"/>
  <c r="J61" i="5" s="1"/>
  <c r="K61" i="5" s="1"/>
  <c r="H122" i="5"/>
  <c r="H91" i="5"/>
  <c r="F91" i="5" s="1"/>
  <c r="J91" i="5" s="1"/>
  <c r="K91" i="5" s="1"/>
  <c r="H70" i="5"/>
  <c r="F70" i="5" s="1"/>
  <c r="J70" i="5" s="1"/>
  <c r="K70" i="5" s="1"/>
  <c r="H113" i="5"/>
  <c r="F113" i="5" s="1"/>
  <c r="J113" i="5" s="1"/>
  <c r="K113" i="5" s="1"/>
  <c r="H100" i="5"/>
  <c r="F100" i="5" s="1"/>
  <c r="J100" i="5" s="1"/>
  <c r="K100" i="5" s="1"/>
  <c r="H115" i="5"/>
  <c r="H93" i="5"/>
  <c r="H128" i="5"/>
  <c r="H32" i="5"/>
  <c r="H94" i="5"/>
  <c r="F94" i="5" s="1"/>
  <c r="J94" i="5" s="1"/>
  <c r="K94" i="5" s="1"/>
  <c r="H56" i="5"/>
  <c r="F56" i="5" s="1"/>
  <c r="J56" i="5" s="1"/>
  <c r="K56" i="5" s="1"/>
  <c r="H48" i="5"/>
  <c r="F48" i="5" s="1"/>
  <c r="J48" i="5" s="1"/>
  <c r="K48" i="5" s="1"/>
  <c r="H89" i="5"/>
  <c r="F89" i="5" s="1"/>
  <c r="J89" i="5" s="1"/>
  <c r="K89" i="5" s="1"/>
  <c r="H130" i="5"/>
  <c r="F130" i="5" s="1"/>
  <c r="J130" i="5" s="1"/>
  <c r="K130" i="5" s="1"/>
  <c r="H45" i="5"/>
  <c r="H116" i="5"/>
  <c r="F116" i="5" s="1"/>
  <c r="J116" i="5" s="1"/>
  <c r="K116" i="5" s="1"/>
  <c r="H31" i="5"/>
  <c r="F31" i="5" s="1"/>
  <c r="J31" i="5" s="1"/>
  <c r="K31" i="5" s="1"/>
  <c r="H39" i="5"/>
  <c r="F39" i="5" s="1"/>
  <c r="J39" i="5" s="1"/>
  <c r="K39" i="5" s="1"/>
  <c r="H90" i="5"/>
  <c r="F90" i="5" s="1"/>
  <c r="J90" i="5" s="1"/>
  <c r="K90" i="5" s="1"/>
  <c r="H77" i="5"/>
  <c r="F77" i="5" s="1"/>
  <c r="J77" i="5" s="1"/>
  <c r="K77" i="5" s="1"/>
  <c r="H66" i="5"/>
  <c r="F66" i="5" s="1"/>
  <c r="J66" i="5" s="1"/>
  <c r="K66" i="5" s="1"/>
  <c r="F6" i="5"/>
  <c r="E146" i="5" s="1"/>
  <c r="A15" i="5"/>
  <c r="J12" i="5"/>
  <c r="J6" i="5"/>
  <c r="C23" i="5"/>
  <c r="G23" i="5" s="1"/>
  <c r="C24" i="5"/>
  <c r="G24" i="5" s="1"/>
  <c r="B24" i="5"/>
  <c r="E24" i="5" s="1"/>
  <c r="B23" i="5"/>
  <c r="I146" i="5" l="1"/>
  <c r="K146" i="5" s="1"/>
  <c r="F107" i="5"/>
  <c r="J107" i="5" s="1"/>
  <c r="K107" i="5" s="1"/>
  <c r="F59" i="5"/>
  <c r="J59" i="5" s="1"/>
  <c r="K59" i="5" s="1"/>
  <c r="F68" i="5"/>
  <c r="J68" i="5" s="1"/>
  <c r="K68" i="5" s="1"/>
  <c r="F45" i="5"/>
  <c r="J45" i="5" s="1"/>
  <c r="K45" i="5" s="1"/>
  <c r="F38" i="5"/>
  <c r="J38" i="5" s="1"/>
  <c r="K38" i="5" s="1"/>
  <c r="F83" i="5"/>
  <c r="J83" i="5" s="1"/>
  <c r="K83" i="5" s="1"/>
  <c r="F43" i="5"/>
  <c r="J43" i="5" s="1"/>
  <c r="K43" i="5" s="1"/>
  <c r="F92" i="5"/>
  <c r="J92" i="5" s="1"/>
  <c r="K92" i="5" s="1"/>
  <c r="F119" i="5"/>
  <c r="J119" i="5" s="1"/>
  <c r="K119" i="5" s="1"/>
  <c r="F134" i="5"/>
  <c r="J134" i="5" s="1"/>
  <c r="K134" i="5" s="1"/>
  <c r="F74" i="5"/>
  <c r="J74" i="5" s="1"/>
  <c r="K74" i="5" s="1"/>
  <c r="F86" i="5"/>
  <c r="J86" i="5" s="1"/>
  <c r="K86" i="5" s="1"/>
  <c r="F34" i="5"/>
  <c r="J34" i="5" s="1"/>
  <c r="K34" i="5" s="1"/>
  <c r="F122" i="5"/>
  <c r="J122" i="5" s="1"/>
  <c r="K122" i="5" s="1"/>
  <c r="F117" i="5"/>
  <c r="J117" i="5" s="1"/>
  <c r="K117" i="5" s="1"/>
  <c r="F105" i="5"/>
  <c r="J105" i="5" s="1"/>
  <c r="K105" i="5" s="1"/>
  <c r="F69" i="5"/>
  <c r="J69" i="5" s="1"/>
  <c r="K69" i="5" s="1"/>
  <c r="F98" i="5"/>
  <c r="J98" i="5" s="1"/>
  <c r="K98" i="5" s="1"/>
  <c r="F79" i="5"/>
  <c r="J79" i="5" s="1"/>
  <c r="K79" i="5" s="1"/>
  <c r="F103" i="5"/>
  <c r="J103" i="5" s="1"/>
  <c r="K103" i="5" s="1"/>
  <c r="F120" i="5"/>
  <c r="J120" i="5" s="1"/>
  <c r="K120" i="5" s="1"/>
  <c r="F62" i="5"/>
  <c r="J62" i="5" s="1"/>
  <c r="K62" i="5" s="1"/>
  <c r="F44" i="5"/>
  <c r="J44" i="5" s="1"/>
  <c r="K44" i="5" s="1"/>
  <c r="F110" i="5"/>
  <c r="J110" i="5" s="1"/>
  <c r="K110" i="5" s="1"/>
  <c r="E23" i="5"/>
  <c r="I23" i="5" s="1"/>
  <c r="F50" i="5"/>
  <c r="J50" i="5" s="1"/>
  <c r="K50" i="5" s="1"/>
  <c r="F27" i="5"/>
  <c r="J27" i="5" s="1"/>
  <c r="K27" i="5" s="1"/>
  <c r="F32" i="5"/>
  <c r="J32" i="5" s="1"/>
  <c r="K32" i="5" s="1"/>
  <c r="F128" i="5"/>
  <c r="J128" i="5" s="1"/>
  <c r="K128" i="5" s="1"/>
  <c r="F57" i="5"/>
  <c r="J57" i="5" s="1"/>
  <c r="K57" i="5" s="1"/>
  <c r="F136" i="5"/>
  <c r="J136" i="5" s="1"/>
  <c r="K136" i="5" s="1"/>
  <c r="F132" i="5"/>
  <c r="J132" i="5" s="1"/>
  <c r="K132" i="5" s="1"/>
  <c r="F55" i="5"/>
  <c r="J55" i="5" s="1"/>
  <c r="K55" i="5" s="1"/>
  <c r="F93" i="5"/>
  <c r="J93" i="5" s="1"/>
  <c r="K93" i="5" s="1"/>
  <c r="F140" i="5"/>
  <c r="J140" i="5" s="1"/>
  <c r="K140" i="5" s="1"/>
  <c r="F127" i="5"/>
  <c r="J127" i="5" s="1"/>
  <c r="K127" i="5" s="1"/>
  <c r="F115" i="5"/>
  <c r="J115" i="5" s="1"/>
  <c r="K115" i="5" s="1"/>
  <c r="F84" i="5"/>
  <c r="J84" i="5" s="1"/>
  <c r="K84" i="5" s="1"/>
  <c r="J25" i="5"/>
  <c r="K25" i="5" s="1"/>
  <c r="I24" i="5"/>
  <c r="H24" i="5"/>
  <c r="F24" i="5" s="1"/>
  <c r="H23" i="5"/>
  <c r="J16" i="5"/>
  <c r="D6" i="5" a="1"/>
  <c r="D6" i="5" s="1"/>
  <c r="E6" i="5" a="1"/>
  <c r="E6" i="5" s="1"/>
  <c r="F23" i="5" l="1"/>
  <c r="J23" i="5" s="1"/>
  <c r="K23" i="5" s="1"/>
  <c r="A6" i="5" a="1"/>
  <c r="A6" i="5" s="1"/>
  <c r="J24" i="5"/>
  <c r="J18" i="5"/>
  <c r="L146" i="5" l="1"/>
  <c r="L23" i="5"/>
  <c r="L28" i="5"/>
  <c r="L29" i="5"/>
  <c r="L27" i="5"/>
  <c r="L26" i="5"/>
  <c r="L30" i="5"/>
  <c r="L25" i="5"/>
  <c r="L31" i="5"/>
  <c r="L32" i="5"/>
  <c r="L33" i="5"/>
  <c r="L34" i="5"/>
  <c r="K24" i="5"/>
  <c r="L24" i="5" s="1"/>
  <c r="L6" i="5"/>
  <c r="H6" i="5" s="1"/>
  <c r="L7" i="5" l="1"/>
  <c r="L35" i="5"/>
  <c r="L36" i="5" l="1"/>
  <c r="A7" i="5"/>
  <c r="L8" i="5"/>
  <c r="F27" i="3" s="1"/>
  <c r="F32" i="3"/>
  <c r="A8" i="5" l="1"/>
  <c r="F33" i="3"/>
  <c r="L37" i="5"/>
  <c r="L38" i="5" l="1"/>
  <c r="L39" i="5" l="1"/>
  <c r="L40" i="5" l="1"/>
  <c r="L41" i="5" l="1"/>
  <c r="L42" i="5" l="1"/>
  <c r="L43" i="5" l="1"/>
  <c r="L44" i="5" l="1"/>
  <c r="L45" i="5" l="1"/>
  <c r="L46" i="5" l="1"/>
  <c r="L47" i="5" l="1"/>
  <c r="L48" i="5" l="1"/>
  <c r="L49" i="5" l="1"/>
  <c r="L50" i="5" l="1"/>
  <c r="L51" i="5" l="1"/>
  <c r="L52" i="5" l="1"/>
  <c r="L53" i="5" l="1"/>
  <c r="L54" i="5" l="1"/>
  <c r="L55" i="5" l="1"/>
  <c r="L56" i="5" l="1"/>
  <c r="L57" i="5" l="1"/>
  <c r="L58" i="5" l="1"/>
  <c r="L59" i="5" l="1"/>
  <c r="L60" i="5" l="1"/>
  <c r="L61" i="5" l="1"/>
  <c r="L62" i="5" l="1"/>
  <c r="L63" i="5" l="1"/>
  <c r="L64" i="5" l="1"/>
  <c r="L65" i="5" l="1"/>
  <c r="L66" i="5" l="1"/>
  <c r="L67" i="5" l="1"/>
  <c r="L68" i="5" l="1"/>
  <c r="L69" i="5" l="1"/>
  <c r="L70" i="5" l="1"/>
  <c r="L71" i="5" l="1"/>
  <c r="L72" i="5" l="1"/>
  <c r="L73" i="5" l="1"/>
  <c r="L74" i="5" l="1"/>
  <c r="L75" i="5" l="1"/>
  <c r="L76" i="5" l="1"/>
  <c r="L77" i="5" l="1"/>
  <c r="L78" i="5" l="1"/>
  <c r="L79" i="5" l="1"/>
  <c r="L80" i="5" l="1"/>
  <c r="L81" i="5" l="1"/>
  <c r="L82" i="5" l="1"/>
  <c r="L83" i="5" l="1"/>
  <c r="L84" i="5" l="1"/>
  <c r="L85" i="5" l="1"/>
  <c r="L86" i="5" l="1"/>
  <c r="L87" i="5" l="1"/>
  <c r="L88" i="5" l="1"/>
  <c r="L89" i="5" l="1"/>
  <c r="L90" i="5" l="1"/>
  <c r="L91" i="5" l="1"/>
  <c r="L92" i="5" l="1"/>
  <c r="L93" i="5" l="1"/>
  <c r="L94" i="5" l="1"/>
  <c r="L95" i="5" l="1"/>
  <c r="L96" i="5" l="1"/>
  <c r="L97" i="5" l="1"/>
  <c r="L98" i="5" l="1"/>
  <c r="L99" i="5" l="1"/>
  <c r="L100" i="5" l="1"/>
  <c r="L101" i="5" l="1"/>
  <c r="L102" i="5" l="1"/>
  <c r="L103" i="5" l="1"/>
  <c r="L104" i="5" l="1"/>
  <c r="L105" i="5" l="1"/>
  <c r="L106" i="5" l="1"/>
  <c r="L107" i="5" l="1"/>
  <c r="L108" i="5" l="1"/>
  <c r="L109" i="5" l="1"/>
  <c r="L110" i="5" l="1"/>
  <c r="L111" i="5" l="1"/>
  <c r="L112" i="5" l="1"/>
  <c r="L113" i="5" l="1"/>
  <c r="L114" i="5" l="1"/>
  <c r="L115" i="5" l="1"/>
  <c r="L116" i="5" l="1"/>
  <c r="L117" i="5" l="1"/>
  <c r="L118" i="5" l="1"/>
  <c r="L119" i="5" l="1"/>
  <c r="L120" i="5" l="1"/>
  <c r="L121" i="5" l="1"/>
  <c r="L122" i="5" l="1"/>
  <c r="L123" i="5" l="1"/>
  <c r="L124" i="5" l="1"/>
  <c r="L125" i="5" l="1"/>
  <c r="L126" i="5" l="1"/>
  <c r="L127" i="5" l="1"/>
  <c r="L128" i="5" l="1"/>
  <c r="L129" i="5" l="1"/>
  <c r="L130" i="5" l="1"/>
  <c r="L131" i="5" l="1"/>
  <c r="L132" i="5" l="1"/>
  <c r="L133" i="5" l="1"/>
  <c r="L134" i="5" l="1"/>
  <c r="L135" i="5" l="1"/>
  <c r="L136" i="5" l="1"/>
  <c r="L137" i="5" l="1"/>
  <c r="L138" i="5" l="1"/>
  <c r="L139" i="5" l="1"/>
  <c r="L140" i="5" l="1"/>
  <c r="L141" i="5" l="1"/>
  <c r="L142" i="5" l="1"/>
  <c r="L143" i="5" l="1"/>
  <c r="L144" i="5" l="1"/>
  <c r="L145" i="5" l="1"/>
  <c r="L147" i="5" l="1"/>
  <c r="F31" i="3" l="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Markus Hagenkamp</author>
  </authors>
  <commentList>
    <comment ref="C6" authorId="0" shapeId="0" xr:uid="{F1799BBC-8F01-49FC-BF72-34146DD8AC11}">
      <text>
        <r>
          <rPr>
            <sz val="9"/>
            <color indexed="81"/>
            <rFont val="Segoe UI"/>
            <family val="2"/>
          </rPr>
          <t xml:space="preserve">Bei mehreren Wärmeerzeugern auf Basis von erneuerbaren Energien sind die Ausgaben entsprechend aufzuteilen und die Förderung mit den jeweiligen Boni zu berechnen. Die maximal förderfähigen Ausgaben sind jedoch weiterhin anhand des gesamten Gebäudes zu ermitteln. Der Rechner kann dies aktuell nicht abbilden, da bei "doppeltem Ausfüllen" die Höchstbeträge nicht korrekt sind. </t>
        </r>
      </text>
    </comment>
    <comment ref="C8" authorId="0" shapeId="0" xr:uid="{BB803114-F2BB-4737-A1D6-0815CEEA1F13}">
      <text>
        <r>
          <rPr>
            <sz val="9"/>
            <color indexed="81"/>
            <rFont val="Segoe UI"/>
            <family val="2"/>
          </rPr>
          <t>Wird bei "Biomasseheizungen" der Emissionsminderungszuschlag gewährt, dann können diese 2.500 € nicht zusätzlich noch für weitere Förderung berücksichtigt werden (Verbot der Doppelförderung). Entsprechend sind die berücksichtigten Ausgaben in diesem Fall um 2.500 € reduziert.</t>
        </r>
      </text>
    </comment>
    <comment ref="G8" authorId="0" shapeId="0" xr:uid="{6C4055AF-9ACE-4D5E-9C89-B39104E26346}">
      <text>
        <r>
          <rPr>
            <sz val="9"/>
            <color indexed="81"/>
            <rFont val="Segoe UI"/>
            <family val="2"/>
          </rPr>
          <t>Für den Fall, dass durch die neue Heizung nur ein Teil des Gebäudes versorgt wird, kann dies hier berücksichtigt werden.</t>
        </r>
      </text>
    </comment>
    <comment ref="G9" authorId="0" shapeId="0" xr:uid="{B84CF3FE-7DF9-4B90-9C8B-41AC72B0C03D}">
      <text>
        <r>
          <rPr>
            <sz val="9"/>
            <color indexed="81"/>
            <rFont val="Segoe UI"/>
            <family val="2"/>
          </rPr>
          <t xml:space="preserve">Es kann nur eine WE je selbstnutzendem Eigentümer angesetzt werden. </t>
        </r>
      </text>
    </comment>
    <comment ref="G10" authorId="0" shapeId="0" xr:uid="{6059805F-D6A2-4112-96C7-F930BA0DC1AA}">
      <text>
        <r>
          <rPr>
            <sz val="9"/>
            <color indexed="81"/>
            <rFont val="Segoe UI"/>
            <family val="2"/>
          </rPr>
          <t>Die Boni für selbstnutzende Eigentümer können bei Mehrfamilienhäusern im Eigentum einer Person nur für max. eine Wohneinheit angesetzt werden. Dabei werden die tatsächlichen Ausgaben laut KfW gleichmäßig auf die Anzahl der Wohneinheiten aufgeteilt und nur der Anteil für die selbstgenutzte Wohneinheit berücksichtigt.</t>
        </r>
      </text>
    </comment>
    <comment ref="F33" authorId="0" shapeId="0" xr:uid="{22F4E0CD-FFE6-43D2-9F8F-E9C1E72B89D1}">
      <text>
        <r>
          <rPr>
            <sz val="9"/>
            <color indexed="81"/>
            <rFont val="Segoe UI"/>
            <family val="2"/>
          </rPr>
          <t>Die detaillierte Berechnung von Wohn-einheiten finden Sie auf dem separatem Tabellenblatt "Detailrechnung WEG".
Detailregelungen sind im FAQ auf energiewechsel.de erläutert.</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Markus Hagenkamp</author>
  </authors>
  <commentList>
    <comment ref="D22" authorId="0" shapeId="0" xr:uid="{44C7D801-1C1E-4831-83B5-24D19EA8232B}">
      <text>
        <r>
          <rPr>
            <sz val="9"/>
            <color indexed="81"/>
            <rFont val="Segoe UI"/>
            <family val="2"/>
          </rPr>
          <t xml:space="preserve">Bitte geben Sie den Eigentumsanteil an, den die jeweiligen Eigentümer an der WEG haben (in Prozent, Tausendstel oder Zehntausendstel, siehe obiges Einstellfeld). 
Die höchstens förderfähigen Ausgaben werden gleichmäßig auf die Anzahl der vorhandenen Wohneinheiten aufgeteilt. Bei 2 Wohneinheiten sind von insgesamt max. 45.000 € also höchstens 22.500 € je Wohneinheit förderfähig. Gleichzeitig ist der Anteil der angesetzten tatsächlichen Kosten auf den Eigentumsanteil an der WEG begrenzt. 
Beispiel: In das oben genannte Gebäude soll eine Wärmepumpenanlage mit 50.000 € tatsächlichen Kosten eingebaut werden. Der selbstnutzende Eigentümer A hat 40 % Anteil an der WEG und die selbstnutzende Eigentümerin B hat 60 % Anteil. Dann erhält Eigentümer A die Boni auf 20.000 € (40% von 50.000€) und Eigentümerin B auf 22.500 € (Hälfte der maximal förderfähigen Ausgaben). 
</t>
        </r>
      </text>
    </comment>
  </commentList>
</comments>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<sst xmlns="http://schemas.openxmlformats.org/spreadsheetml/2006/main" count="69" uniqueCount="67">
  <si>
    <t>ja</t>
  </si>
  <si>
    <t xml:space="preserve">Aktuelle Infos zur BEG-Förderung finden Sie immer unter: </t>
  </si>
  <si>
    <t>https://oekozentrum.nrw/beg/</t>
  </si>
  <si>
    <t>Legende:</t>
  </si>
  <si>
    <t>Eingabefelder</t>
  </si>
  <si>
    <t>Ergebnisfelder</t>
  </si>
  <si>
    <t>Höhe der Förderung für den Heizungstausch</t>
  </si>
  <si>
    <t xml:space="preserve">Für wie viele Wohneinheiten ist der Einkommensbonus anwendbar? </t>
  </si>
  <si>
    <t>Wohneinheit Nr.</t>
  </si>
  <si>
    <t>Boni</t>
  </si>
  <si>
    <r>
      <t xml:space="preserve">Einkommen </t>
    </r>
    <r>
      <rPr>
        <b/>
        <sz val="11"/>
        <color theme="1"/>
        <rFont val="ScalaSans"/>
        <family val="2"/>
      </rPr>
      <t>≤</t>
    </r>
    <r>
      <rPr>
        <b/>
        <sz val="11"/>
        <color theme="1"/>
        <rFont val="Calibri"/>
        <family val="2"/>
        <scheme val="minor"/>
      </rPr>
      <t xml:space="preserve"> 40.000 € ?</t>
    </r>
  </si>
  <si>
    <t>Mögliche Förderung bei Antrag in (bitte Jahr wählen)</t>
  </si>
  <si>
    <t>Förderrechner für den Heizungstausch ab 2024</t>
  </si>
  <si>
    <t xml:space="preserve">Mit diesem Rechner können Sie die Höhe des Zuschusses in der Bundesförderung effiziente Gebäude (BEG-EM) für den Austausch von Heizungsanlagen ab 2024 berechnen. Füllen Sie dazu die grünen Felder aus. </t>
  </si>
  <si>
    <t>Ist der Klimageschwindigkeits-Bonus anwendbar?</t>
  </si>
  <si>
    <t>Förderfähige Ausgaben für den Heizungstausch</t>
  </si>
  <si>
    <t xml:space="preserve">Ausgaben für den Heizungstausch: </t>
  </si>
  <si>
    <t>selbstgenutztes Eigentum?</t>
  </si>
  <si>
    <t xml:space="preserve">Effizienzbonus 5 % (Wärmepumpe): </t>
  </si>
  <si>
    <t>Emissionsminderungszuschlag:</t>
  </si>
  <si>
    <t>Ist der Effizienzbonus anwendbar?</t>
  </si>
  <si>
    <t>Ist der Emmissionsminderungs-Zuschlag anwendbar?</t>
  </si>
  <si>
    <t>5 % Bonus für Wärmepumpen mit natürlichem Kältemittel bzw. Wärmequelle Erdreich oder (Ab-)Wasser.</t>
  </si>
  <si>
    <t xml:space="preserve">*Hinweis: Kalkulation von Maßnahmen zum Heizungstausch als Einzelmaßname der BEG. </t>
  </si>
  <si>
    <t>maximaler Zusatz-Bonus</t>
  </si>
  <si>
    <t>Gesamter Fördersatz</t>
  </si>
  <si>
    <t>+2.500 € Förderung für Biomasseheizungen mit Staub-Emissionen nachweislich &lt; 2,5 mg/m³.</t>
  </si>
  <si>
    <t>2024-2028</t>
  </si>
  <si>
    <t>Grundförderung inkl. Effizienzbonus &amp; Emissionsminderungs-Zuschlag</t>
  </si>
  <si>
    <t>Förderf. Ausgaben gesamt</t>
  </si>
  <si>
    <t>Grund-förderung</t>
  </si>
  <si>
    <t>zusätzlicher Förderbetrag  (selbstgenutztes Eigentum)</t>
  </si>
  <si>
    <t>Investition</t>
  </si>
  <si>
    <t xml:space="preserve">Zusatzförderung für selbstgenutztes Eigentum (Klimab./ Einkommensb.) </t>
  </si>
  <si>
    <t>Klimageschwindigkeits-bonus</t>
  </si>
  <si>
    <t>Einkommensbonus</t>
  </si>
  <si>
    <t>berücksichtigte bzw. max. förderfähige Ausgaben</t>
  </si>
  <si>
    <t>Zwischensumme Grundförderung:</t>
  </si>
  <si>
    <t>Allgemeine Angaben zum Gebäude</t>
  </si>
  <si>
    <t>Allgemeine Angaben zur neuen Heizung</t>
  </si>
  <si>
    <t>Art des neuen Wärmeerzeugers:</t>
  </si>
  <si>
    <t>betroffene Wohn-einheiten</t>
  </si>
  <si>
    <t xml:space="preserve"> davon selbst genutzt</t>
  </si>
  <si>
    <t xml:space="preserve">davon mit 
Einkommens-Bonus </t>
  </si>
  <si>
    <t>Gebäudetyp:</t>
  </si>
  <si>
    <t xml:space="preserve">davon berücksichtigte Ausgaben: </t>
  </si>
  <si>
    <t xml:space="preserve">maximal förderfähige Ausgaben: </t>
  </si>
  <si>
    <t>maximal förderfähige Ausgaben pro Wohneinheit</t>
  </si>
  <si>
    <t xml:space="preserve">Für Einzelmaßnahmen stehen bis zu 120.000 € Ergänzungskredit der KfW zur Verfügung. Bei Haushalten mit bis zu 90.000 € zu versteuerndem Jahreseinkommen gilt dafür ein vergünstigter Zinssatz. Bei weiteren Effizienzmaßnahmen (z.B. Dämmung, Fenstertausch) können zusätzliche Ausgaben mit 15% (ggf. +5 % iSFP-Bonus) gefördert werden. Die Förderung einer neuen Heizungsanlage kann jedoch NICHT mit der Einzelmaßnahme "Heizungsoptimierung" kombiniert werden (Ziffer 4.1 der Richtlinie BEG EM). </t>
  </si>
  <si>
    <t>Eigenanteil der jeweiligen 
WE bei Aufteilung nach Eigentumsanteil</t>
  </si>
  <si>
    <t>Berücksichtigte Ausgaben (ggf. reduziert um Emissionsminderungs-Zuschlag):</t>
  </si>
  <si>
    <t>%</t>
  </si>
  <si>
    <t>nein</t>
  </si>
  <si>
    <t>Eigentumsanteil an WEG?
 (falls geteiltes Eigentum)</t>
  </si>
  <si>
    <t xml:space="preserve">Details zum Emissionsminderungszuschlag bei Biomasseheizungen sowie zur Aufteilung der Ausgaben bei mehreren Wohneinheiten sind den FAQ des BMWK auf www.energiewechsel.de entnommen. </t>
  </si>
  <si>
    <t>Die Angaben bilden unser Verständnis der BEG EM Richtlinie ab (veröffentlicht am 29.12.23).</t>
  </si>
  <si>
    <t>Es gelten die Hinweise der Registerkarte "Förderrechner".</t>
  </si>
  <si>
    <t xml:space="preserve">&lt;--- Mit Klick auf das Plus(+) am Bildschirmrand können Sie die Ansicht auf 125 Wohneinheiten erweitern.  </t>
  </si>
  <si>
    <t>Nein</t>
  </si>
  <si>
    <t>Berechnung der Grundförderung und der immer verfügbaren Boni (Basisantrag)</t>
  </si>
  <si>
    <t>Details zur Kostenaufteilung bei ungeteilten MFH entstammen den FAQ der KfW auf www.kfw.de/458.</t>
  </si>
  <si>
    <t xml:space="preserve">Wohnungseigentümergemeinschaft? </t>
  </si>
  <si>
    <r>
      <rPr>
        <b/>
        <sz val="14"/>
        <color theme="1"/>
        <rFont val="Calibri"/>
        <family val="2"/>
        <scheme val="minor"/>
      </rPr>
      <t xml:space="preserve">Zusammenfassung der Ergebnisse für alle Wohneinheiten des Gebäudes </t>
    </r>
    <r>
      <rPr>
        <b/>
        <sz val="16"/>
        <color theme="1"/>
        <rFont val="Calibri"/>
        <family val="2"/>
        <scheme val="minor"/>
      </rPr>
      <t xml:space="preserve">
</t>
    </r>
    <r>
      <rPr>
        <sz val="12"/>
        <color theme="1"/>
        <rFont val="Calibri"/>
        <family val="2"/>
        <scheme val="minor"/>
      </rPr>
      <t>(bitte bei Wohnungseigentümergemeinschaften unten die Eigentumsanteile eintragen)</t>
    </r>
  </si>
  <si>
    <t>Wohngebäude</t>
  </si>
  <si>
    <t xml:space="preserve">Fördersatz </t>
  </si>
  <si>
    <t>Fördersatz gesamt (prozentual, bezogen auf berücksichtigte Ausgaben)</t>
  </si>
  <si>
    <t>Wärmepumpe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</si>
</sst>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43" formatCode="_-* #,##0.00_-;\-* #,##0.00_-;_-* &quot;-&quot;??_-;_-@_-"/>
    <numFmt numFmtId="164" formatCode="_-* #,##0\ &quot;€&quot;_-;\-* #,##0\ &quot;€&quot;_-;_-* &quot;-&quot;??\ &quot;€&quot;_-;_-@_-"/>
    <numFmt numFmtId="165" formatCode="#,##0\ &quot;€&quot;"/>
    <numFmt numFmtId="166" formatCode="_-* #,##0.0000_-;\-* #,##0.0000_-;_-* &quot;-&quot;??_-;_-@_-"/>
    <numFmt numFmtId="167" formatCode="0.0%"/>
  </numFmts>
  <fonts count="21" x14ac:knownFonts="1">
    <font>
      <sz val="11"/>
      <color theme="1"/>
      <name val="Calibri"/>
      <family val="2"/>
      <scheme val="minor"/>
    </font>
    <font>
      <sz val="11"/>
      <color theme="1"/>
      <name val="Calibri"/>
      <family val="2"/>
      <scheme val="minor"/>
    </font>
    <font>
      <sz val="11"/>
      <name val="Calibri"/>
      <family val="2"/>
      <scheme val="minor"/>
    </font>
    <font>
      <b/>
      <sz val="11"/>
      <name val="Calibri"/>
      <family val="2"/>
      <scheme val="minor"/>
    </font>
    <font>
      <b/>
      <sz val="14"/>
      <color theme="1"/>
      <name val="Calibri"/>
      <family val="2"/>
      <scheme val="minor"/>
    </font>
    <font>
      <b/>
      <sz val="12"/>
      <color theme="1"/>
      <name val="Calibri"/>
      <family val="2"/>
      <scheme val="minor"/>
    </font>
    <font>
      <u/>
      <sz val="11"/>
      <color theme="10"/>
      <name val="Calibri"/>
      <family val="2"/>
      <scheme val="minor"/>
    </font>
    <font>
      <b/>
      <sz val="11"/>
      <color theme="1"/>
      <name val="Calibri"/>
      <family val="2"/>
      <scheme val="minor"/>
    </font>
    <font>
      <i/>
      <sz val="11"/>
      <color theme="1"/>
      <name val="Calibri"/>
      <family val="2"/>
      <scheme val="minor"/>
    </font>
    <font>
      <b/>
      <u/>
      <sz val="11"/>
      <color theme="10"/>
      <name val="Calibri"/>
      <family val="2"/>
      <scheme val="minor"/>
    </font>
    <font>
      <b/>
      <sz val="18"/>
      <color theme="1"/>
      <name val="Calibri"/>
      <family val="2"/>
      <scheme val="minor"/>
    </font>
    <font>
      <b/>
      <sz val="11"/>
      <color theme="1"/>
      <name val="ScalaSans"/>
      <family val="2"/>
    </font>
    <font>
      <b/>
      <sz val="12"/>
      <color rgb="FFFF0000"/>
      <name val="Calibri"/>
      <family val="2"/>
      <scheme val="minor"/>
    </font>
    <font>
      <b/>
      <sz val="16"/>
      <color rgb="FFFF0000"/>
      <name val="Calibri"/>
      <family val="2"/>
      <scheme val="minor"/>
    </font>
    <font>
      <b/>
      <sz val="16"/>
      <color theme="1"/>
      <name val="Calibri"/>
      <family val="2"/>
      <scheme val="minor"/>
    </font>
    <font>
      <b/>
      <sz val="12"/>
      <name val="Calibri"/>
      <family val="2"/>
      <scheme val="minor"/>
    </font>
    <font>
      <sz val="9"/>
      <color indexed="81"/>
      <name val="Segoe UI"/>
      <family val="2"/>
    </font>
    <font>
      <b/>
      <sz val="8"/>
      <color rgb="FFFF0000"/>
      <name val="Calibri"/>
      <family val="2"/>
      <scheme val="minor"/>
    </font>
    <font>
      <b/>
      <sz val="14"/>
      <color rgb="FFFF0000"/>
      <name val="Calibri"/>
      <family val="2"/>
      <scheme val="minor"/>
    </font>
    <font>
      <sz val="9"/>
      <color theme="1"/>
      <name val="Calibri"/>
      <family val="2"/>
      <scheme val="minor"/>
    </font>
    <font>
      <sz val="12"/>
      <color theme="1"/>
      <name val="Calibri"/>
      <family val="2"/>
      <scheme val="minor"/>
    </font>
  </fonts>
  <fills count="10">
    <fill>
      <patternFill patternType="none"/>
    </fill>
    <fill>
      <patternFill patternType="gray125"/>
    </fill>
    <fill>
      <patternFill patternType="solid">
        <fgColor theme="9" tint="0.59996337778862885"/>
        <bgColor indexed="64"/>
      </patternFill>
    </fill>
    <fill>
      <patternFill patternType="solid">
        <fgColor theme="5" tint="0.59996337778862885"/>
        <bgColor indexed="64"/>
      </patternFill>
    </fill>
    <fill>
      <patternFill patternType="solid">
        <fgColor theme="9" tint="0.59999389629810485"/>
        <bgColor indexed="64"/>
      </patternFill>
    </fill>
    <fill>
      <patternFill patternType="solid">
        <fgColor theme="0" tint="-0.14999847407452621"/>
        <bgColor indexed="64"/>
      </patternFill>
    </fill>
    <fill>
      <patternFill patternType="solid">
        <fgColor theme="5" tint="0.59999389629810485"/>
        <bgColor indexed="64"/>
      </patternFill>
    </fill>
    <fill>
      <patternFill patternType="solid">
        <fgColor theme="5" tint="0.79998168889431442"/>
        <bgColor indexed="64"/>
      </patternFill>
    </fill>
    <fill>
      <patternFill patternType="solid">
        <fgColor theme="0" tint="-0.249977111117893"/>
        <bgColor indexed="64"/>
      </patternFill>
    </fill>
    <fill>
      <patternFill patternType="solid">
        <fgColor theme="9" tint="0.79998168889431442"/>
        <bgColor indexed="64"/>
      </patternFill>
    </fill>
  </fills>
  <borders count="27">
    <border>
      <left/>
      <right/>
      <top/>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right/>
      <top/>
      <bottom style="double">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top/>
      <bottom style="double">
        <color indexed="64"/>
      </bottom>
      <diagonal/>
    </border>
    <border>
      <left/>
      <right style="medium">
        <color indexed="64"/>
      </right>
      <top/>
      <bottom style="double">
        <color indexed="64"/>
      </bottom>
      <diagonal/>
    </border>
    <border>
      <left style="medium">
        <color indexed="64"/>
      </left>
      <right style="medium">
        <color indexed="64"/>
      </right>
      <top style="medium">
        <color indexed="64"/>
      </top>
      <bottom style="medium">
        <color indexed="64"/>
      </bottom>
      <diagonal/>
    </border>
  </borders>
  <cellStyleXfs count="6">
    <xf numFmtId="0" fontId="0" fillId="0" borderId="0"/>
    <xf numFmtId="9" fontId="1" fillId="0" borderId="0" applyFont="0" applyFill="0" applyBorder="0" applyAlignment="0" applyProtection="0"/>
    <xf numFmtId="0" fontId="2" fillId="2" borderId="1" applyNumberFormat="0" applyAlignment="0" applyProtection="0"/>
    <xf numFmtId="0" fontId="3" fillId="3" borderId="2" applyNumberFormat="0" applyAlignment="0" applyProtection="0"/>
    <xf numFmtId="0" fontId="6" fillId="0" borderId="0" applyNumberFormat="0" applyFill="0" applyBorder="0" applyAlignment="0" applyProtection="0"/>
    <xf numFmtId="43" fontId="1" fillId="0" borderId="0" applyFont="0" applyFill="0" applyBorder="0" applyAlignment="0" applyProtection="0"/>
  </cellStyleXfs>
  <cellXfs count="173">
    <xf numFmtId="0" fontId="0" fillId="0" borderId="0" xfId="0"/>
    <xf numFmtId="0" fontId="10" fillId="0" borderId="0" xfId="0" applyFont="1"/>
    <xf numFmtId="0" fontId="0" fillId="0" borderId="0" xfId="0" applyAlignment="1">
      <alignment vertical="top"/>
    </xf>
    <xf numFmtId="0" fontId="0" fillId="0" borderId="6" xfId="0" applyBorder="1"/>
    <xf numFmtId="0" fontId="8" fillId="0" borderId="0" xfId="0" applyFont="1" applyAlignment="1">
      <alignment horizontal="left" wrapText="1"/>
    </xf>
    <xf numFmtId="0" fontId="7" fillId="0" borderId="6" xfId="0" applyFont="1" applyBorder="1"/>
    <xf numFmtId="0" fontId="8" fillId="0" borderId="6" xfId="0" applyFont="1" applyBorder="1"/>
    <xf numFmtId="0" fontId="0" fillId="0" borderId="7" xfId="0" applyBorder="1"/>
    <xf numFmtId="0" fontId="7" fillId="0" borderId="0" xfId="0" applyFont="1"/>
    <xf numFmtId="0" fontId="5" fillId="0" borderId="0" xfId="0" applyFont="1" applyAlignment="1">
      <alignment horizontal="left" wrapText="1"/>
    </xf>
    <xf numFmtId="0" fontId="9" fillId="0" borderId="0" xfId="4" applyFont="1" applyFill="1" applyAlignment="1" applyProtection="1">
      <alignment horizontal="left"/>
    </xf>
    <xf numFmtId="0" fontId="7" fillId="0" borderId="0" xfId="0" applyFont="1" applyAlignment="1">
      <alignment horizontal="left"/>
    </xf>
    <xf numFmtId="165" fontId="0" fillId="0" borderId="0" xfId="0" applyNumberFormat="1"/>
    <xf numFmtId="0" fontId="7" fillId="0" borderId="3" xfId="0" applyFont="1" applyBorder="1"/>
    <xf numFmtId="0" fontId="0" fillId="0" borderId="4" xfId="0" applyBorder="1"/>
    <xf numFmtId="166" fontId="0" fillId="0" borderId="0" xfId="0" applyNumberFormat="1"/>
    <xf numFmtId="0" fontId="0" fillId="7" borderId="15" xfId="0" applyFill="1" applyBorder="1" applyAlignment="1">
      <alignment horizontal="center"/>
    </xf>
    <xf numFmtId="0" fontId="0" fillId="7" borderId="16" xfId="0" applyFill="1" applyBorder="1" applyAlignment="1">
      <alignment horizontal="center"/>
    </xf>
    <xf numFmtId="9" fontId="0" fillId="7" borderId="15" xfId="0" applyNumberFormat="1" applyFill="1" applyBorder="1" applyAlignment="1">
      <alignment horizontal="center"/>
    </xf>
    <xf numFmtId="9" fontId="0" fillId="7" borderId="4" xfId="0" applyNumberFormat="1" applyFill="1" applyBorder="1" applyAlignment="1">
      <alignment horizontal="center"/>
    </xf>
    <xf numFmtId="9" fontId="0" fillId="7" borderId="16" xfId="0" applyNumberFormat="1" applyFill="1" applyBorder="1" applyAlignment="1">
      <alignment horizontal="center"/>
    </xf>
    <xf numFmtId="0" fontId="7" fillId="5" borderId="15" xfId="0" applyFont="1" applyFill="1" applyBorder="1" applyAlignment="1">
      <alignment horizontal="center"/>
    </xf>
    <xf numFmtId="0" fontId="7" fillId="5" borderId="16" xfId="0" applyFont="1" applyFill="1" applyBorder="1" applyAlignment="1">
      <alignment horizontal="center"/>
    </xf>
    <xf numFmtId="9" fontId="0" fillId="6" borderId="15" xfId="1" applyFont="1" applyFill="1" applyBorder="1" applyAlignment="1">
      <alignment horizontal="center"/>
    </xf>
    <xf numFmtId="9" fontId="0" fillId="6" borderId="16" xfId="1" applyFont="1" applyFill="1" applyBorder="1" applyAlignment="1">
      <alignment horizontal="center"/>
    </xf>
    <xf numFmtId="0" fontId="2" fillId="2" borderId="5" xfId="2" applyBorder="1" applyAlignment="1" applyProtection="1">
      <alignment horizontal="center"/>
      <protection locked="0"/>
    </xf>
    <xf numFmtId="0" fontId="8" fillId="0" borderId="4" xfId="0" applyFont="1" applyBorder="1" applyAlignment="1">
      <alignment horizontal="left" wrapText="1"/>
    </xf>
    <xf numFmtId="0" fontId="0" fillId="0" borderId="3" xfId="0" applyBorder="1"/>
    <xf numFmtId="0" fontId="8" fillId="0" borderId="6" xfId="0" applyFont="1" applyBorder="1" applyAlignment="1">
      <alignment horizontal="left" vertical="top" wrapText="1"/>
    </xf>
    <xf numFmtId="0" fontId="8" fillId="0" borderId="7" xfId="0" applyFont="1" applyBorder="1" applyAlignment="1">
      <alignment horizontal="left" vertical="top" wrapText="1"/>
    </xf>
    <xf numFmtId="0" fontId="2" fillId="2" borderId="7" xfId="5" applyNumberFormat="1" applyFont="1" applyFill="1" applyBorder="1" applyAlignment="1" applyProtection="1">
      <alignment horizontal="center"/>
      <protection locked="0"/>
    </xf>
    <xf numFmtId="0" fontId="7" fillId="5" borderId="15" xfId="0" applyFont="1" applyFill="1" applyBorder="1" applyAlignment="1">
      <alignment horizontal="center" textRotation="90" wrapText="1"/>
    </xf>
    <xf numFmtId="165" fontId="0" fillId="6" borderId="16" xfId="0" applyNumberFormat="1" applyFill="1" applyBorder="1"/>
    <xf numFmtId="0" fontId="10" fillId="0" borderId="0" xfId="0" applyFont="1" applyAlignment="1">
      <alignment horizontal="left"/>
    </xf>
    <xf numFmtId="0" fontId="12" fillId="0" borderId="0" xfId="0" applyFont="1" applyAlignment="1">
      <alignment horizontal="center"/>
    </xf>
    <xf numFmtId="0" fontId="3" fillId="0" borderId="6" xfId="0" applyFont="1" applyBorder="1"/>
    <xf numFmtId="0" fontId="7" fillId="8" borderId="3" xfId="0" applyFont="1" applyFill="1" applyBorder="1"/>
    <xf numFmtId="0" fontId="7" fillId="8" borderId="4" xfId="0" applyFont="1" applyFill="1" applyBorder="1"/>
    <xf numFmtId="0" fontId="0" fillId="8" borderId="4" xfId="0" applyFill="1" applyBorder="1"/>
    <xf numFmtId="0" fontId="0" fillId="8" borderId="3" xfId="0" applyFill="1" applyBorder="1" applyAlignment="1">
      <alignment horizontal="left" wrapText="1"/>
    </xf>
    <xf numFmtId="0" fontId="0" fillId="8" borderId="7" xfId="0" applyFill="1" applyBorder="1" applyAlignment="1">
      <alignment horizontal="left" wrapText="1"/>
    </xf>
    <xf numFmtId="0" fontId="7" fillId="8" borderId="11" xfId="0" applyFont="1" applyFill="1" applyBorder="1" applyAlignment="1">
      <alignment horizontal="left" vertical="top" wrapText="1"/>
    </xf>
    <xf numFmtId="0" fontId="7" fillId="8" borderId="12" xfId="0" applyFont="1" applyFill="1" applyBorder="1" applyAlignment="1">
      <alignment horizontal="left" vertical="top" wrapText="1"/>
    </xf>
    <xf numFmtId="0" fontId="7" fillId="8" borderId="13" xfId="0" applyFont="1" applyFill="1" applyBorder="1" applyAlignment="1">
      <alignment horizontal="left" vertical="top" wrapText="1"/>
    </xf>
    <xf numFmtId="0" fontId="7" fillId="5" borderId="19" xfId="0" applyFont="1" applyFill="1" applyBorder="1" applyAlignment="1">
      <alignment horizontal="center" wrapText="1"/>
    </xf>
    <xf numFmtId="0" fontId="7" fillId="5" borderId="20" xfId="0" applyFont="1" applyFill="1" applyBorder="1" applyAlignment="1">
      <alignment horizontal="center" wrapText="1"/>
    </xf>
    <xf numFmtId="165" fontId="7" fillId="6" borderId="23" xfId="0" applyNumberFormat="1" applyFont="1" applyFill="1" applyBorder="1" applyAlignment="1">
      <alignment horizontal="right" wrapText="1"/>
    </xf>
    <xf numFmtId="0" fontId="8" fillId="0" borderId="0" xfId="0" applyFont="1" applyAlignment="1">
      <alignment horizontal="left" vertical="top" wrapText="1"/>
    </xf>
    <xf numFmtId="9" fontId="0" fillId="7" borderId="0" xfId="0" applyNumberFormat="1" applyFill="1" applyAlignment="1">
      <alignment horizontal="center"/>
    </xf>
    <xf numFmtId="165" fontId="0" fillId="6" borderId="0" xfId="0" applyNumberFormat="1" applyFill="1"/>
    <xf numFmtId="0" fontId="2" fillId="4" borderId="5" xfId="2" applyFill="1" applyBorder="1" applyAlignment="1" applyProtection="1">
      <alignment horizontal="center"/>
      <protection locked="0"/>
    </xf>
    <xf numFmtId="0" fontId="7" fillId="0" borderId="24" xfId="0" applyFont="1" applyBorder="1"/>
    <xf numFmtId="0" fontId="0" fillId="0" borderId="14" xfId="0" applyBorder="1"/>
    <xf numFmtId="0" fontId="0" fillId="8" borderId="0" xfId="0" applyFill="1" applyAlignment="1">
      <alignment horizontal="left" wrapText="1"/>
    </xf>
    <xf numFmtId="0" fontId="2" fillId="2" borderId="10" xfId="5" applyNumberFormat="1" applyFont="1" applyFill="1" applyBorder="1" applyAlignment="1" applyProtection="1">
      <alignment horizontal="center"/>
      <protection locked="0"/>
    </xf>
    <xf numFmtId="0" fontId="0" fillId="6" borderId="22" xfId="0" applyFill="1" applyBorder="1" applyAlignment="1">
      <alignment horizontal="center" wrapText="1"/>
    </xf>
    <xf numFmtId="0" fontId="7" fillId="5" borderId="15" xfId="0" applyFont="1" applyFill="1" applyBorder="1" applyAlignment="1">
      <alignment textRotation="90" wrapText="1"/>
    </xf>
    <xf numFmtId="0" fontId="0" fillId="6" borderId="22" xfId="0" applyFill="1" applyBorder="1" applyAlignment="1">
      <alignment wrapText="1"/>
    </xf>
    <xf numFmtId="43" fontId="0" fillId="7" borderId="16" xfId="5" applyFont="1" applyFill="1" applyBorder="1" applyAlignment="1" applyProtection="1">
      <alignment horizontal="center"/>
      <protection locked="0"/>
    </xf>
    <xf numFmtId="165" fontId="0" fillId="7" borderId="15" xfId="0" applyNumberFormat="1" applyFill="1" applyBorder="1"/>
    <xf numFmtId="165" fontId="0" fillId="7" borderId="16" xfId="0" applyNumberFormat="1" applyFill="1" applyBorder="1"/>
    <xf numFmtId="0" fontId="19" fillId="9" borderId="26" xfId="0" applyFont="1" applyFill="1" applyBorder="1" applyAlignment="1" applyProtection="1">
      <alignment horizontal="center"/>
      <protection locked="0"/>
    </xf>
    <xf numFmtId="2" fontId="0" fillId="7" borderId="15" xfId="5" applyNumberFormat="1" applyFont="1" applyFill="1" applyBorder="1" applyAlignment="1" applyProtection="1">
      <alignment horizontal="center"/>
      <protection locked="0"/>
    </xf>
    <xf numFmtId="165" fontId="0" fillId="6" borderId="15" xfId="0" applyNumberFormat="1" applyFill="1" applyBorder="1"/>
    <xf numFmtId="0" fontId="18" fillId="0" borderId="0" xfId="0" applyFont="1" applyAlignment="1">
      <alignment horizontal="center"/>
    </xf>
    <xf numFmtId="0" fontId="14" fillId="0" borderId="0" xfId="0" applyFont="1" applyAlignment="1">
      <alignment horizontal="left"/>
    </xf>
    <xf numFmtId="0" fontId="6" fillId="0" borderId="0" xfId="4" applyAlignment="1">
      <alignment vertical="top" wrapText="1"/>
    </xf>
    <xf numFmtId="0" fontId="17" fillId="0" borderId="0" xfId="0" applyFont="1" applyAlignment="1">
      <alignment wrapText="1"/>
    </xf>
    <xf numFmtId="165" fontId="5" fillId="6" borderId="0" xfId="0" applyNumberFormat="1" applyFont="1" applyFill="1" applyAlignment="1">
      <alignment wrapText="1"/>
    </xf>
    <xf numFmtId="165" fontId="5" fillId="6" borderId="14" xfId="0" applyNumberFormat="1" applyFont="1" applyFill="1" applyBorder="1" applyAlignment="1">
      <alignment horizontal="right" wrapText="1"/>
    </xf>
    <xf numFmtId="0" fontId="7" fillId="5" borderId="17" xfId="0" applyFont="1" applyFill="1" applyBorder="1" applyAlignment="1">
      <alignment horizontal="center"/>
    </xf>
    <xf numFmtId="0" fontId="0" fillId="7" borderId="17" xfId="0" applyFill="1" applyBorder="1" applyAlignment="1">
      <alignment horizontal="center"/>
    </xf>
    <xf numFmtId="43" fontId="0" fillId="7" borderId="17" xfId="5" applyFont="1" applyFill="1" applyBorder="1" applyAlignment="1" applyProtection="1">
      <alignment horizontal="center"/>
      <protection locked="0"/>
    </xf>
    <xf numFmtId="165" fontId="0" fillId="6" borderId="17" xfId="0" applyNumberFormat="1" applyFill="1" applyBorder="1"/>
    <xf numFmtId="9" fontId="0" fillId="7" borderId="17" xfId="0" applyNumberFormat="1" applyFill="1" applyBorder="1" applyAlignment="1">
      <alignment horizontal="center"/>
    </xf>
    <xf numFmtId="9" fontId="0" fillId="7" borderId="9" xfId="0" applyNumberFormat="1" applyFill="1" applyBorder="1" applyAlignment="1">
      <alignment horizontal="center"/>
    </xf>
    <xf numFmtId="165" fontId="0" fillId="6" borderId="9" xfId="0" applyNumberFormat="1" applyFill="1" applyBorder="1"/>
    <xf numFmtId="9" fontId="0" fillId="6" borderId="17" xfId="1" applyFont="1" applyFill="1" applyBorder="1" applyAlignment="1">
      <alignment horizontal="center"/>
    </xf>
    <xf numFmtId="165" fontId="0" fillId="7" borderId="17" xfId="0" applyNumberFormat="1" applyFill="1" applyBorder="1"/>
    <xf numFmtId="0" fontId="10" fillId="0" borderId="0" xfId="0" applyFont="1" applyAlignment="1">
      <alignment horizontal="center" vertical="top" wrapText="1"/>
    </xf>
    <xf numFmtId="0" fontId="0" fillId="0" borderId="8" xfId="0" applyBorder="1" applyAlignment="1">
      <alignment horizontal="left"/>
    </xf>
    <xf numFmtId="0" fontId="0" fillId="0" borderId="9" xfId="0" applyBorder="1" applyAlignment="1">
      <alignment horizontal="left"/>
    </xf>
    <xf numFmtId="167" fontId="2" fillId="3" borderId="4" xfId="3" applyNumberFormat="1" applyFont="1" applyBorder="1" applyAlignment="1" applyProtection="1">
      <alignment horizontal="center"/>
    </xf>
    <xf numFmtId="167" fontId="2" fillId="3" borderId="5" xfId="3" applyNumberFormat="1" applyFont="1" applyBorder="1" applyAlignment="1" applyProtection="1">
      <alignment horizontal="center"/>
    </xf>
    <xf numFmtId="0" fontId="7" fillId="0" borderId="3" xfId="0" applyFont="1" applyBorder="1" applyAlignment="1">
      <alignment horizontal="center"/>
    </xf>
    <xf numFmtId="0" fontId="7" fillId="0" borderId="4" xfId="0" applyFont="1" applyBorder="1" applyAlignment="1">
      <alignment horizontal="center"/>
    </xf>
    <xf numFmtId="0" fontId="7" fillId="0" borderId="5" xfId="0" applyFont="1" applyBorder="1" applyAlignment="1">
      <alignment horizontal="center"/>
    </xf>
    <xf numFmtId="164" fontId="2" fillId="3" borderId="0" xfId="3" applyNumberFormat="1" applyFont="1" applyBorder="1" applyAlignment="1" applyProtection="1">
      <alignment horizontal="center"/>
    </xf>
    <xf numFmtId="164" fontId="2" fillId="3" borderId="7" xfId="3" applyNumberFormat="1" applyFont="1" applyBorder="1" applyAlignment="1" applyProtection="1">
      <alignment horizontal="center"/>
    </xf>
    <xf numFmtId="0" fontId="8" fillId="0" borderId="8" xfId="0" quotePrefix="1" applyFont="1" applyBorder="1" applyAlignment="1">
      <alignment horizontal="left" vertical="top" wrapText="1"/>
    </xf>
    <xf numFmtId="0" fontId="8" fillId="0" borderId="9" xfId="0" applyFont="1" applyBorder="1" applyAlignment="1">
      <alignment horizontal="left" vertical="top" wrapText="1"/>
    </xf>
    <xf numFmtId="0" fontId="8" fillId="0" borderId="10" xfId="0" applyFont="1" applyBorder="1" applyAlignment="1">
      <alignment horizontal="left" vertical="top" wrapText="1"/>
    </xf>
    <xf numFmtId="0" fontId="6" fillId="0" borderId="0" xfId="4" applyAlignment="1">
      <alignment horizontal="left"/>
    </xf>
    <xf numFmtId="0" fontId="2" fillId="3" borderId="0" xfId="3" applyFont="1" applyBorder="1" applyAlignment="1" applyProtection="1">
      <alignment horizontal="center"/>
    </xf>
    <xf numFmtId="0" fontId="4" fillId="0" borderId="11" xfId="0" applyFont="1" applyBorder="1" applyAlignment="1">
      <alignment horizontal="left"/>
    </xf>
    <xf numFmtId="0" fontId="4" fillId="0" borderId="12" xfId="0" applyFont="1" applyBorder="1" applyAlignment="1">
      <alignment horizontal="left"/>
    </xf>
    <xf numFmtId="0" fontId="6" fillId="0" borderId="0" xfId="4" applyAlignment="1">
      <alignment horizontal="left" wrapText="1"/>
    </xf>
    <xf numFmtId="0" fontId="6" fillId="0" borderId="0" xfId="4" applyBorder="1" applyAlignment="1" applyProtection="1">
      <alignment horizontal="left" wrapText="1"/>
    </xf>
    <xf numFmtId="0" fontId="5" fillId="0" borderId="0" xfId="0" applyFont="1" applyAlignment="1">
      <alignment horizontal="left" wrapText="1"/>
    </xf>
    <xf numFmtId="0" fontId="6" fillId="0" borderId="0" xfId="4" applyFill="1" applyAlignment="1" applyProtection="1">
      <alignment horizontal="right"/>
    </xf>
    <xf numFmtId="0" fontId="7" fillId="0" borderId="0" xfId="0" applyFont="1" applyAlignment="1">
      <alignment horizontal="right"/>
    </xf>
    <xf numFmtId="0" fontId="6" fillId="0" borderId="0" xfId="4" applyAlignment="1">
      <alignment horizontal="left" vertical="top" wrapText="1"/>
    </xf>
    <xf numFmtId="0" fontId="2" fillId="2" borderId="0" xfId="2" applyBorder="1" applyAlignment="1" applyProtection="1">
      <alignment horizontal="center"/>
    </xf>
    <xf numFmtId="0" fontId="8" fillId="0" borderId="6" xfId="0" applyFont="1" applyBorder="1" applyAlignment="1">
      <alignment horizontal="left" vertical="top" wrapText="1"/>
    </xf>
    <xf numFmtId="0" fontId="8" fillId="0" borderId="0" xfId="0" applyFont="1" applyAlignment="1">
      <alignment horizontal="left" vertical="top" wrapText="1"/>
    </xf>
    <xf numFmtId="0" fontId="8" fillId="0" borderId="7" xfId="0" applyFont="1" applyBorder="1" applyAlignment="1">
      <alignment horizontal="left" vertical="top" wrapText="1"/>
    </xf>
    <xf numFmtId="0" fontId="8" fillId="0" borderId="8" xfId="0" applyFont="1" applyBorder="1" applyAlignment="1">
      <alignment horizontal="left" vertical="top" wrapText="1"/>
    </xf>
    <xf numFmtId="164" fontId="2" fillId="3" borderId="14" xfId="3" applyNumberFormat="1" applyFont="1" applyBorder="1" applyAlignment="1" applyProtection="1">
      <alignment horizontal="center"/>
    </xf>
    <xf numFmtId="164" fontId="2" fillId="3" borderId="25" xfId="3" applyNumberFormat="1" applyFont="1" applyBorder="1" applyAlignment="1" applyProtection="1">
      <alignment horizontal="center"/>
    </xf>
    <xf numFmtId="164" fontId="2" fillId="6" borderId="0" xfId="2" applyNumberFormat="1" applyFill="1" applyBorder="1" applyAlignment="1" applyProtection="1">
      <alignment horizontal="center"/>
    </xf>
    <xf numFmtId="0" fontId="0" fillId="0" borderId="6" xfId="0" applyBorder="1" applyAlignment="1">
      <alignment horizontal="left"/>
    </xf>
    <xf numFmtId="0" fontId="0" fillId="0" borderId="0" xfId="0" applyAlignment="1">
      <alignment horizontal="left"/>
    </xf>
    <xf numFmtId="0" fontId="2" fillId="2" borderId="4" xfId="2" applyBorder="1" applyAlignment="1" applyProtection="1">
      <alignment horizontal="center"/>
      <protection locked="0"/>
    </xf>
    <xf numFmtId="164" fontId="2" fillId="2" borderId="0" xfId="2" applyNumberFormat="1" applyBorder="1" applyAlignment="1" applyProtection="1">
      <alignment horizontal="center"/>
      <protection locked="0"/>
    </xf>
    <xf numFmtId="49" fontId="4" fillId="4" borderId="12" xfId="0" applyNumberFormat="1" applyFont="1" applyFill="1" applyBorder="1" applyAlignment="1" applyProtection="1">
      <alignment horizontal="center"/>
      <protection locked="0"/>
    </xf>
    <xf numFmtId="49" fontId="4" fillId="4" borderId="13" xfId="0" applyNumberFormat="1" applyFont="1" applyFill="1" applyBorder="1" applyAlignment="1" applyProtection="1">
      <alignment horizontal="center"/>
      <protection locked="0"/>
    </xf>
    <xf numFmtId="0" fontId="7" fillId="8" borderId="11" xfId="0" applyFont="1" applyFill="1" applyBorder="1" applyAlignment="1">
      <alignment horizontal="left" vertical="top" wrapText="1"/>
    </xf>
    <xf numFmtId="0" fontId="7" fillId="8" borderId="12" xfId="0" applyFont="1" applyFill="1" applyBorder="1" applyAlignment="1">
      <alignment horizontal="left" vertical="top" wrapText="1"/>
    </xf>
    <xf numFmtId="0" fontId="7" fillId="8" borderId="13" xfId="0" applyFont="1" applyFill="1" applyBorder="1" applyAlignment="1">
      <alignment horizontal="left" vertical="top" wrapText="1"/>
    </xf>
    <xf numFmtId="0" fontId="8" fillId="8" borderId="8" xfId="0" applyFont="1" applyFill="1" applyBorder="1" applyAlignment="1">
      <alignment horizontal="left" vertical="top" wrapText="1"/>
    </xf>
    <xf numFmtId="0" fontId="8" fillId="8" borderId="9" xfId="0" applyFont="1" applyFill="1" applyBorder="1" applyAlignment="1">
      <alignment horizontal="left" vertical="top" wrapText="1"/>
    </xf>
    <xf numFmtId="0" fontId="8" fillId="8" borderId="10" xfId="0" applyFont="1" applyFill="1" applyBorder="1" applyAlignment="1">
      <alignment horizontal="left" vertical="top" wrapText="1"/>
    </xf>
    <xf numFmtId="0" fontId="12" fillId="0" borderId="6" xfId="0" applyFont="1" applyBorder="1" applyAlignment="1">
      <alignment horizontal="center" wrapText="1"/>
    </xf>
    <xf numFmtId="0" fontId="12" fillId="0" borderId="0" xfId="0" applyFont="1" applyAlignment="1">
      <alignment horizontal="center" wrapText="1"/>
    </xf>
    <xf numFmtId="0" fontId="12" fillId="0" borderId="8" xfId="0" applyFont="1" applyBorder="1" applyAlignment="1">
      <alignment horizontal="center" wrapText="1"/>
    </xf>
    <xf numFmtId="0" fontId="12" fillId="0" borderId="9" xfId="0" applyFont="1" applyBorder="1" applyAlignment="1">
      <alignment horizontal="center" wrapText="1"/>
    </xf>
    <xf numFmtId="0" fontId="7" fillId="0" borderId="3" xfId="0" applyFont="1" applyBorder="1" applyAlignment="1">
      <alignment horizontal="left"/>
    </xf>
    <xf numFmtId="0" fontId="7" fillId="0" borderId="4" xfId="0" applyFont="1" applyBorder="1" applyAlignment="1">
      <alignment horizontal="left"/>
    </xf>
    <xf numFmtId="0" fontId="7" fillId="0" borderId="11" xfId="0" applyFont="1" applyBorder="1" applyAlignment="1">
      <alignment horizontal="center"/>
    </xf>
    <xf numFmtId="0" fontId="7" fillId="0" borderId="12" xfId="0" applyFont="1" applyBorder="1" applyAlignment="1">
      <alignment horizontal="center"/>
    </xf>
    <xf numFmtId="0" fontId="7" fillId="0" borderId="13" xfId="0" applyFont="1" applyBorder="1" applyAlignment="1">
      <alignment horizontal="center"/>
    </xf>
    <xf numFmtId="0" fontId="2" fillId="2" borderId="5" xfId="2" applyBorder="1" applyAlignment="1" applyProtection="1">
      <alignment horizontal="center"/>
      <protection locked="0"/>
    </xf>
    <xf numFmtId="0" fontId="7" fillId="5" borderId="15" xfId="0" applyFont="1" applyFill="1" applyBorder="1" applyAlignment="1">
      <alignment horizontal="center" textRotation="90" wrapText="1"/>
    </xf>
    <xf numFmtId="0" fontId="7" fillId="5" borderId="16" xfId="0" applyFont="1" applyFill="1" applyBorder="1" applyAlignment="1">
      <alignment horizontal="center" textRotation="90" wrapText="1"/>
    </xf>
    <xf numFmtId="164" fontId="2" fillId="7" borderId="6" xfId="2" applyNumberFormat="1" applyFill="1" applyBorder="1" applyAlignment="1" applyProtection="1">
      <alignment horizontal="right"/>
    </xf>
    <xf numFmtId="164" fontId="2" fillId="7" borderId="0" xfId="2" applyNumberFormat="1" applyFill="1" applyBorder="1" applyAlignment="1" applyProtection="1">
      <alignment horizontal="right"/>
    </xf>
    <xf numFmtId="164" fontId="2" fillId="7" borderId="7" xfId="2" applyNumberFormat="1" applyFill="1" applyBorder="1" applyAlignment="1" applyProtection="1">
      <alignment horizontal="right"/>
    </xf>
    <xf numFmtId="164" fontId="2" fillId="7" borderId="3" xfId="2" applyNumberFormat="1" applyFill="1" applyBorder="1" applyAlignment="1" applyProtection="1">
      <alignment horizontal="right"/>
    </xf>
    <xf numFmtId="164" fontId="2" fillId="7" borderId="4" xfId="2" applyNumberFormat="1" applyFill="1" applyBorder="1" applyAlignment="1" applyProtection="1">
      <alignment horizontal="right"/>
    </xf>
    <xf numFmtId="164" fontId="2" fillId="7" borderId="5" xfId="2" applyNumberFormat="1" applyFill="1" applyBorder="1" applyAlignment="1" applyProtection="1">
      <alignment horizontal="right"/>
    </xf>
    <xf numFmtId="0" fontId="20" fillId="0" borderId="4" xfId="0" applyFont="1" applyBorder="1" applyAlignment="1">
      <alignment horizontal="right" wrapText="1"/>
    </xf>
    <xf numFmtId="0" fontId="5" fillId="0" borderId="0" xfId="0" applyFont="1" applyAlignment="1">
      <alignment horizontal="right" wrapText="1"/>
    </xf>
    <xf numFmtId="0" fontId="4" fillId="0" borderId="9" xfId="0" applyFont="1" applyBorder="1" applyAlignment="1">
      <alignment horizontal="left"/>
    </xf>
    <xf numFmtId="0" fontId="5" fillId="5" borderId="11" xfId="0" applyFont="1" applyFill="1" applyBorder="1" applyAlignment="1">
      <alignment horizontal="left"/>
    </xf>
    <xf numFmtId="0" fontId="5" fillId="5" borderId="12" xfId="0" applyFont="1" applyFill="1" applyBorder="1" applyAlignment="1">
      <alignment horizontal="left"/>
    </xf>
    <xf numFmtId="0" fontId="5" fillId="5" borderId="13" xfId="0" applyFont="1" applyFill="1" applyBorder="1" applyAlignment="1">
      <alignment horizontal="left"/>
    </xf>
    <xf numFmtId="0" fontId="0" fillId="5" borderId="11" xfId="0" applyFill="1" applyBorder="1" applyAlignment="1">
      <alignment horizontal="left"/>
    </xf>
    <xf numFmtId="0" fontId="0" fillId="5" borderId="12" xfId="0" applyFill="1" applyBorder="1" applyAlignment="1">
      <alignment horizontal="left"/>
    </xf>
    <xf numFmtId="0" fontId="0" fillId="5" borderId="13" xfId="0" applyFill="1" applyBorder="1" applyAlignment="1">
      <alignment horizontal="left"/>
    </xf>
    <xf numFmtId="0" fontId="7" fillId="5" borderId="5" xfId="0" applyFont="1" applyFill="1" applyBorder="1" applyAlignment="1">
      <alignment horizontal="center" textRotation="90" wrapText="1"/>
    </xf>
    <xf numFmtId="0" fontId="7" fillId="5" borderId="10" xfId="0" applyFont="1" applyFill="1" applyBorder="1" applyAlignment="1">
      <alignment horizontal="center" textRotation="90" wrapText="1"/>
    </xf>
    <xf numFmtId="0" fontId="13" fillId="0" borderId="0" xfId="0" applyFont="1" applyAlignment="1">
      <alignment horizontal="center" wrapText="1"/>
    </xf>
    <xf numFmtId="0" fontId="7" fillId="5" borderId="7" xfId="0" applyFont="1" applyFill="1" applyBorder="1" applyAlignment="1">
      <alignment horizontal="center" textRotation="90" wrapText="1"/>
    </xf>
    <xf numFmtId="0" fontId="7" fillId="5" borderId="17" xfId="0" applyFont="1" applyFill="1" applyBorder="1" applyAlignment="1">
      <alignment horizontal="center" textRotation="90" wrapText="1"/>
    </xf>
    <xf numFmtId="0" fontId="7" fillId="5" borderId="11" xfId="0" applyFont="1" applyFill="1" applyBorder="1" applyAlignment="1">
      <alignment horizontal="center" wrapText="1"/>
    </xf>
    <xf numFmtId="0" fontId="7" fillId="5" borderId="13" xfId="0" applyFont="1" applyFill="1" applyBorder="1" applyAlignment="1">
      <alignment horizontal="center" wrapText="1"/>
    </xf>
    <xf numFmtId="0" fontId="10" fillId="0" borderId="0" xfId="0" applyFont="1" applyAlignment="1">
      <alignment horizontal="left" vertical="top" wrapText="1"/>
    </xf>
    <xf numFmtId="0" fontId="14" fillId="0" borderId="0" xfId="0" applyFont="1" applyAlignment="1">
      <alignment horizontal="left" vertical="center" wrapText="1"/>
    </xf>
    <xf numFmtId="0" fontId="14" fillId="0" borderId="0" xfId="0" applyFont="1" applyAlignment="1">
      <alignment horizontal="left" vertical="center"/>
    </xf>
    <xf numFmtId="0" fontId="14" fillId="0" borderId="9" xfId="0" applyFont="1" applyBorder="1" applyAlignment="1">
      <alignment horizontal="left" vertical="center"/>
    </xf>
    <xf numFmtId="164" fontId="15" fillId="7" borderId="8" xfId="2" applyNumberFormat="1" applyFont="1" applyFill="1" applyBorder="1" applyAlignment="1" applyProtection="1">
      <alignment horizontal="right"/>
    </xf>
    <xf numFmtId="164" fontId="15" fillId="7" borderId="9" xfId="2" applyNumberFormat="1" applyFont="1" applyFill="1" applyBorder="1" applyAlignment="1" applyProtection="1">
      <alignment horizontal="right"/>
    </xf>
    <xf numFmtId="164" fontId="15" fillId="7" borderId="10" xfId="2" applyNumberFormat="1" applyFont="1" applyFill="1" applyBorder="1" applyAlignment="1" applyProtection="1">
      <alignment horizontal="right"/>
    </xf>
    <xf numFmtId="9" fontId="2" fillId="7" borderId="6" xfId="1" applyFont="1" applyFill="1" applyBorder="1" applyAlignment="1" applyProtection="1">
      <alignment horizontal="right"/>
    </xf>
    <xf numFmtId="9" fontId="2" fillId="7" borderId="0" xfId="1" applyFont="1" applyFill="1" applyBorder="1" applyAlignment="1" applyProtection="1">
      <alignment horizontal="right"/>
    </xf>
    <xf numFmtId="9" fontId="2" fillId="7" borderId="7" xfId="1" applyFont="1" applyFill="1" applyBorder="1" applyAlignment="1" applyProtection="1">
      <alignment horizontal="right"/>
    </xf>
    <xf numFmtId="10" fontId="0" fillId="6" borderId="22" xfId="1" applyNumberFormat="1" applyFont="1" applyFill="1" applyBorder="1" applyAlignment="1">
      <alignment horizontal="center"/>
    </xf>
    <xf numFmtId="0" fontId="7" fillId="5" borderId="19" xfId="0" applyFont="1" applyFill="1" applyBorder="1" applyAlignment="1">
      <alignment horizontal="center" wrapText="1"/>
    </xf>
    <xf numFmtId="165" fontId="0" fillId="6" borderId="22" xfId="0" applyNumberFormat="1" applyFill="1" applyBorder="1" applyAlignment="1">
      <alignment horizontal="center" wrapText="1"/>
    </xf>
    <xf numFmtId="0" fontId="7" fillId="5" borderId="18" xfId="0" applyFont="1" applyFill="1" applyBorder="1" applyAlignment="1">
      <alignment horizontal="center" wrapText="1"/>
    </xf>
    <xf numFmtId="0" fontId="0" fillId="6" borderId="21" xfId="0" applyFill="1" applyBorder="1" applyAlignment="1">
      <alignment horizontal="center" wrapText="1"/>
    </xf>
    <xf numFmtId="0" fontId="0" fillId="6" borderId="22" xfId="0" applyFill="1" applyBorder="1" applyAlignment="1">
      <alignment horizontal="center" wrapText="1"/>
    </xf>
    <xf numFmtId="0" fontId="4" fillId="0" borderId="0" xfId="0" applyFont="1" applyAlignment="1">
      <alignment horizontal="left"/>
    </xf>
  </cellXfs>
  <cellStyles count="6">
    <cellStyle name="Ausgabe" xfId="3" builtinId="21" customBuiltin="1"/>
    <cellStyle name="Eingabe" xfId="2" builtinId="20" customBuiltin="1"/>
    <cellStyle name="Komma" xfId="5" builtinId="3"/>
    <cellStyle name="Link" xfId="4" builtinId="8"/>
    <cellStyle name="Prozent" xfId="1" builtinId="5"/>
    <cellStyle name="Standard" xfId="0" builtinId="0"/>
  </cellStyles>
  <dxfs count="12">
    <dxf>
      <numFmt numFmtId="1" formatCode="0"/>
      <fill>
        <patternFill>
          <bgColor theme="0" tint="-0.14996795556505021"/>
        </patternFill>
      </fill>
    </dxf>
    <dxf>
      <numFmt numFmtId="3" formatCode="#,##0"/>
      <fill>
        <patternFill>
          <bgColor theme="9" tint="0.79998168889431442"/>
        </patternFill>
      </fill>
    </dxf>
    <dxf>
      <font>
        <b/>
        <i val="0"/>
        <color rgb="FFFF0000"/>
      </font>
      <numFmt numFmtId="1" formatCode="0"/>
    </dxf>
    <dxf>
      <numFmt numFmtId="1" formatCode="0"/>
    </dxf>
    <dxf>
      <font>
        <b/>
        <i val="0"/>
        <color rgb="FFFF0000"/>
      </font>
    </dxf>
    <dxf>
      <font>
        <color theme="0" tint="-0.24994659260841701"/>
      </font>
      <fill>
        <patternFill patternType="solid">
          <bgColor theme="0" tint="-0.24994659260841701"/>
        </patternFill>
      </fill>
    </dxf>
    <dxf>
      <font>
        <color rgb="FFFF0000"/>
      </font>
    </dxf>
    <dxf>
      <font>
        <color theme="0"/>
      </font>
      <fill>
        <patternFill patternType="solid">
          <bgColor theme="0"/>
        </patternFill>
      </fill>
    </dxf>
    <dxf>
      <font>
        <color theme="0"/>
      </font>
      <fill>
        <patternFill>
          <fgColor theme="0"/>
          <bgColor theme="0"/>
        </patternFill>
      </fill>
    </dxf>
    <dxf>
      <font>
        <color theme="0"/>
      </font>
      <fill>
        <patternFill patternType="none">
          <bgColor auto="1"/>
        </patternFill>
      </fill>
      <border>
        <left/>
        <right/>
        <top/>
        <bottom/>
        <vertical/>
        <horizontal/>
      </border>
    </dxf>
    <dxf>
      <font>
        <color theme="0"/>
      </font>
      <fill>
        <patternFill patternType="none">
          <bgColor auto="1"/>
        </patternFill>
      </fill>
      <border>
        <left/>
        <right/>
        <top/>
        <bottom/>
        <vertical/>
        <horizontal/>
      </border>
    </dxf>
    <dxf>
      <font>
        <color theme="0"/>
      </font>
      <fill>
        <patternFill patternType="none">
          <bgColor auto="1"/>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eetMetadata" Target="metadata.xml"/><Relationship Id="rId5" Type="http://schemas.openxmlformats.org/officeDocument/2006/relationships/sharedStrings" Target="sharedStrings.xml"/><Relationship Id="rId4" Type="http://schemas.openxmlformats.org/officeDocument/2006/relationships/styles" Target="styles.xml"/></Relationships>
</file>

<file path=xl/drawings/_rels/vmlDrawing2.vml.rels><?xml version="1.0" encoding="UTF-8" standalone="yes"?>
<Relationships xmlns="http://schemas.openxmlformats.org/package/2006/relationships"><Relationship Id="rId1" Type="http://schemas.openxmlformats.org/officeDocument/2006/relationships/image" Target="../media/image1.png"/></Relationships>
</file>

<file path=xl/drawings/_rels/vmlDrawing4.vml.rels><?xml version="1.0" encoding="UTF-8" standalone="yes"?>
<Relationships xmlns="http://schemas.openxmlformats.org/package/2006/relationships"><Relationship Id="rId1" Type="http://schemas.openxmlformats.org/officeDocument/2006/relationships/image" Target="../media/image2.jpeg"/></Relationships>
</file>

<file path=xl/theme/theme1.xml><?xml version="1.0" encoding="utf-8"?>
<a:theme xmlns:a="http://schemas.openxmlformats.org/drawingml/2006/main" name="Office 2013 – 2022-Design">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vmlDrawing" Target="../drawings/vmlDrawing2.vml"/><Relationship Id="rId3" Type="http://schemas.openxmlformats.org/officeDocument/2006/relationships/hyperlink" Target="https://www.energiewechsel.de/KAENEF/Redaktion/DE/FAQ/FAQ-Uebersicht/BEG/faq-bundesfoerderung-fuer-effiziente-gebaeude.html" TargetMode="External"/><Relationship Id="rId7" Type="http://schemas.openxmlformats.org/officeDocument/2006/relationships/vmlDrawing" Target="../drawings/vmlDrawing1.vml"/><Relationship Id="rId2" Type="http://schemas.openxmlformats.org/officeDocument/2006/relationships/hyperlink" Target="https://www.bafa.de/DE/Energie/Effiziente_Gebaeude/effiziente_gebaeude_node.html" TargetMode="External"/><Relationship Id="rId1" Type="http://schemas.openxmlformats.org/officeDocument/2006/relationships/hyperlink" Target="https://oekozentrum.nrw/beg/" TargetMode="External"/><Relationship Id="rId6" Type="http://schemas.openxmlformats.org/officeDocument/2006/relationships/printerSettings" Target="../printerSettings/printerSettings1.bin"/><Relationship Id="rId5" Type="http://schemas.openxmlformats.org/officeDocument/2006/relationships/hyperlink" Target="https://www.energiewechsel.de/KAENEF/Redaktion/DE/PDF-Anlagen/BEG/bundesfoerderung-f%C3%BCr-effiziente-gebaeude-einzelmassnahmen-20231229.pdf?__blob=publicationFile&amp;v=3" TargetMode="External"/><Relationship Id="rId4" Type="http://schemas.openxmlformats.org/officeDocument/2006/relationships/hyperlink" Target="http://www.kfw.de/458" TargetMode="External"/><Relationship Id="rId9" Type="http://schemas.openxmlformats.org/officeDocument/2006/relationships/comments" Target="../comments1.xml"/></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4.vml"/><Relationship Id="rId2" Type="http://schemas.openxmlformats.org/officeDocument/2006/relationships/vmlDrawing" Target="../drawings/vmlDrawing3.vml"/><Relationship Id="rId1" Type="http://schemas.openxmlformats.org/officeDocument/2006/relationships/printerSettings" Target="../printerSettings/printerSettings2.bin"/><Relationship Id="rId4" Type="http://schemas.openxmlformats.org/officeDocument/2006/relationships/comments" Target="../comments2.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8EAC258-C9A9-4D1A-8912-113EA2C260F0}">
  <sheetPr codeName="Tabelle2"/>
  <dimension ref="A2:L47"/>
  <sheetViews>
    <sheetView tabSelected="1" view="pageLayout" zoomScale="115" zoomScaleNormal="130" zoomScalePageLayoutView="115" workbookViewId="0">
      <selection activeCell="C6" sqref="C6:D6"/>
    </sheetView>
  </sheetViews>
  <sheetFormatPr baseColWidth="10" defaultColWidth="11.453125" defaultRowHeight="14.5" x14ac:dyDescent="0.35"/>
  <cols>
    <col min="1" max="1" width="11.453125" customWidth="1"/>
    <col min="2" max="2" width="16.453125" customWidth="1"/>
    <col min="3" max="3" width="12.453125" customWidth="1"/>
    <col min="4" max="4" width="10.7265625" customWidth="1"/>
    <col min="5" max="5" width="13.26953125" customWidth="1"/>
    <col min="6" max="6" width="17.1796875" customWidth="1"/>
    <col min="7" max="7" width="8.7265625" customWidth="1"/>
    <col min="8" max="8" width="5.7265625" customWidth="1"/>
    <col min="9" max="9" width="2.81640625" customWidth="1"/>
    <col min="10" max="10" width="5.7265625" customWidth="1"/>
    <col min="11" max="12" width="10" customWidth="1"/>
    <col min="13" max="18" width="5.7265625" customWidth="1"/>
    <col min="19" max="19" width="12.26953125" customWidth="1"/>
  </cols>
  <sheetData>
    <row r="2" spans="1:7" ht="23.5" x14ac:dyDescent="0.55000000000000004">
      <c r="A2" s="1" t="s">
        <v>12</v>
      </c>
    </row>
    <row r="3" spans="1:7" ht="30" customHeight="1" x14ac:dyDescent="0.35">
      <c r="A3" s="104" t="s">
        <v>13</v>
      </c>
      <c r="B3" s="104"/>
      <c r="C3" s="104"/>
      <c r="D3" s="104"/>
      <c r="E3" s="104"/>
      <c r="F3" s="104"/>
      <c r="G3" s="104"/>
    </row>
    <row r="4" spans="1:7" ht="8.5" customHeight="1" thickBot="1" x14ac:dyDescent="0.4">
      <c r="A4" s="2"/>
    </row>
    <row r="5" spans="1:7" ht="15" thickBot="1" x14ac:dyDescent="0.4">
      <c r="A5" s="128" t="s">
        <v>39</v>
      </c>
      <c r="B5" s="129"/>
      <c r="C5" s="129"/>
      <c r="D5" s="130"/>
      <c r="E5" s="84" t="s">
        <v>38</v>
      </c>
      <c r="F5" s="85"/>
      <c r="G5" s="86"/>
    </row>
    <row r="6" spans="1:7" x14ac:dyDescent="0.35">
      <c r="A6" s="27" t="s">
        <v>40</v>
      </c>
      <c r="B6" s="14"/>
      <c r="C6" s="112" t="s">
        <v>66</v>
      </c>
      <c r="D6" s="112"/>
      <c r="E6" s="27" t="s">
        <v>44</v>
      </c>
      <c r="F6" s="112" t="s">
        <v>63</v>
      </c>
      <c r="G6" s="131"/>
    </row>
    <row r="7" spans="1:7" x14ac:dyDescent="0.35">
      <c r="A7" s="3" t="s">
        <v>16</v>
      </c>
      <c r="C7" s="113">
        <v>30000</v>
      </c>
      <c r="D7" s="113"/>
      <c r="E7" s="3" t="str">
        <f>IF(F6="Wohngebäude","Anzahl Wohneinheiten gesamt:","Nettogrundfläche NGF [m²]")</f>
        <v>Anzahl Wohneinheiten gesamt:</v>
      </c>
      <c r="G7" s="30">
        <v>1</v>
      </c>
    </row>
    <row r="8" spans="1:7" x14ac:dyDescent="0.35">
      <c r="A8" s="3" t="s">
        <v>45</v>
      </c>
      <c r="C8" s="109">
        <f>C7-2500*(G12="ja")*(C6="Biomasseheizung")</f>
        <v>30000</v>
      </c>
      <c r="D8" s="109"/>
      <c r="E8" s="110" t="str">
        <f>"von neuer Heizung versorgt ("&amp;ROUND(G8/G7*100,2)&amp;" %):"</f>
        <v>von neuer Heizung versorgt (100 %):</v>
      </c>
      <c r="F8" s="111"/>
      <c r="G8" s="30">
        <v>1</v>
      </c>
    </row>
    <row r="9" spans="1:7" x14ac:dyDescent="0.35">
      <c r="A9" s="122" t="str">
        <f>IF(AND(F6="Wohngebäude",G10="Ja"),"BITTE TABELLENBLATT ''Detailrechnung WEG'' AUSFÜLLEN!","")</f>
        <v/>
      </c>
      <c r="B9" s="123"/>
      <c r="C9" s="123"/>
      <c r="D9" s="123"/>
      <c r="E9" s="3" t="str">
        <f>IF(F6="Wohngebäude","davon selbstgenutztes Eigentum:","")</f>
        <v>davon selbstgenutztes Eigentum:</v>
      </c>
      <c r="G9" s="30">
        <v>1</v>
      </c>
    </row>
    <row r="10" spans="1:7" ht="15" thickBot="1" x14ac:dyDescent="0.4">
      <c r="A10" s="124"/>
      <c r="B10" s="125"/>
      <c r="C10" s="125"/>
      <c r="D10" s="125"/>
      <c r="E10" s="80" t="s">
        <v>61</v>
      </c>
      <c r="F10" s="81"/>
      <c r="G10" s="54" t="s">
        <v>58</v>
      </c>
    </row>
    <row r="11" spans="1:7" ht="7.5" customHeight="1" thickBot="1" x14ac:dyDescent="0.4"/>
    <row r="12" spans="1:7" x14ac:dyDescent="0.35">
      <c r="A12" s="126" t="s">
        <v>21</v>
      </c>
      <c r="B12" s="127"/>
      <c r="C12" s="127"/>
      <c r="D12" s="127"/>
      <c r="E12" s="127"/>
      <c r="F12" s="127"/>
      <c r="G12" s="25" t="s">
        <v>0</v>
      </c>
    </row>
    <row r="13" spans="1:7" ht="15" customHeight="1" thickBot="1" x14ac:dyDescent="0.4">
      <c r="A13" s="89" t="s">
        <v>26</v>
      </c>
      <c r="B13" s="90"/>
      <c r="C13" s="90"/>
      <c r="D13" s="90"/>
      <c r="E13" s="90"/>
      <c r="F13" s="90"/>
      <c r="G13" s="91"/>
    </row>
    <row r="14" spans="1:7" ht="7.5" customHeight="1" thickBot="1" x14ac:dyDescent="0.4">
      <c r="A14" s="26"/>
      <c r="B14" s="4"/>
      <c r="C14" s="4"/>
      <c r="D14" s="4"/>
      <c r="E14" s="4"/>
      <c r="F14" s="4"/>
      <c r="G14" s="4"/>
    </row>
    <row r="15" spans="1:7" x14ac:dyDescent="0.35">
      <c r="A15" s="126" t="s">
        <v>20</v>
      </c>
      <c r="B15" s="127"/>
      <c r="C15" s="127"/>
      <c r="D15" s="127"/>
      <c r="E15" s="127"/>
      <c r="F15" s="127"/>
      <c r="G15" s="25" t="s">
        <v>52</v>
      </c>
    </row>
    <row r="16" spans="1:7" ht="15" customHeight="1" thickBot="1" x14ac:dyDescent="0.4">
      <c r="A16" s="106" t="s">
        <v>22</v>
      </c>
      <c r="B16" s="90"/>
      <c r="C16" s="90"/>
      <c r="D16" s="90"/>
      <c r="E16" s="90"/>
      <c r="F16" s="90"/>
      <c r="G16" s="91"/>
    </row>
    <row r="17" spans="1:11" ht="8.15" customHeight="1" thickBot="1" x14ac:dyDescent="0.4">
      <c r="A17" s="28"/>
      <c r="B17" s="47"/>
      <c r="C17" s="47"/>
      <c r="D17" s="47"/>
      <c r="E17" s="47"/>
      <c r="F17" s="47"/>
      <c r="G17" s="29"/>
    </row>
    <row r="18" spans="1:11" ht="45" customHeight="1" thickBot="1" x14ac:dyDescent="0.4">
      <c r="A18" s="116" t="str">
        <f>IF(F6="Nichtwohngebäude","Die folgenden Boni sind bei Nichtwohngebäuden NICHT anwendbar.",IF(G10="Ja","Bitte die Eigentumsanteile in ''Detailrechnung WEG'' eintragen. ","")&amp;"Die folgenden Boni sind für max. eine selbst genutzte Wohneinheit je Eigentümer:in anwendbar und müssen über Zusatzanträge beantragt werden. ")</f>
        <v xml:space="preserve">Die folgenden Boni sind für max. eine selbst genutzte Wohneinheit je Eigentümer:in anwendbar und müssen über Zusatzanträge beantragt werden. </v>
      </c>
      <c r="B18" s="117"/>
      <c r="C18" s="117"/>
      <c r="D18" s="117"/>
      <c r="E18" s="117"/>
      <c r="F18" s="117"/>
      <c r="G18" s="118"/>
    </row>
    <row r="19" spans="1:11" ht="7.5" customHeight="1" thickBot="1" x14ac:dyDescent="0.4">
      <c r="A19" s="41"/>
      <c r="B19" s="42"/>
      <c r="C19" s="42"/>
      <c r="D19" s="42"/>
      <c r="E19" s="42"/>
      <c r="F19" s="42"/>
      <c r="G19" s="43"/>
    </row>
    <row r="20" spans="1:11" x14ac:dyDescent="0.35">
      <c r="A20" s="36" t="s">
        <v>14</v>
      </c>
      <c r="B20" s="37"/>
      <c r="C20" s="37"/>
      <c r="D20" s="37"/>
      <c r="E20" s="37"/>
      <c r="F20" s="38"/>
      <c r="G20" s="25" t="s">
        <v>0</v>
      </c>
    </row>
    <row r="21" spans="1:11" ht="60" customHeight="1" thickBot="1" x14ac:dyDescent="0.4">
      <c r="A21" s="119" t="str">
        <f>IF(F6="Wohngebäude","Wird beim Tausch von intakten Öl-, Etagen-, Kohle- oder Nachtspeicherheizungen gegen erneuerbare Heizungen gewährt.  Dies gilt auch für Gas- und Biomasseheizungen, die mind. 20 Jahre alt sind. "&amp;"Der Bonus liegt bis 2028 bei 20 % und sinkt dann alle zwei Jahre um 3 Prozentpunkte."&amp;" Neue Biomasseheizungen müssen für den Bonus von Solarthermie, PV für Warmwasser oder einer Wärmepumpe unterstützt werden. ","Dieser Bonus ist bei Nichtwohngebäuden nicht anwendbar.")</f>
        <v xml:space="preserve">Wird beim Tausch von intakten Öl-, Etagen-, Kohle- oder Nachtspeicherheizungen gegen erneuerbare Heizungen gewährt.  Dies gilt auch für Gas- und Biomasseheizungen, die mind. 20 Jahre alt sind. Der Bonus liegt bis 2028 bei 20 % und sinkt dann alle zwei Jahre um 3 Prozentpunkte. Neue Biomasseheizungen müssen für den Bonus von Solarthermie, PV für Warmwasser oder einer Wärmepumpe unterstützt werden. </v>
      </c>
      <c r="B21" s="120"/>
      <c r="C21" s="120"/>
      <c r="D21" s="120"/>
      <c r="E21" s="120"/>
      <c r="F21" s="120"/>
      <c r="G21" s="121"/>
    </row>
    <row r="22" spans="1:11" ht="7.5" customHeight="1" thickBot="1" x14ac:dyDescent="0.4">
      <c r="A22" s="39"/>
      <c r="B22" s="53"/>
      <c r="C22" s="53"/>
      <c r="D22" s="53"/>
      <c r="E22" s="53"/>
      <c r="F22" s="53"/>
      <c r="G22" s="40"/>
    </row>
    <row r="23" spans="1:11" x14ac:dyDescent="0.35">
      <c r="A23" s="36" t="s">
        <v>7</v>
      </c>
      <c r="B23" s="37"/>
      <c r="C23" s="37"/>
      <c r="D23" s="37"/>
      <c r="E23" s="37"/>
      <c r="F23" s="38"/>
      <c r="G23" s="50">
        <v>1</v>
      </c>
    </row>
    <row r="24" spans="1:11" ht="15" customHeight="1" thickBot="1" x14ac:dyDescent="0.4">
      <c r="A24" s="119" t="str">
        <f>IF(F6="Wohngebäude","Einkommensbonus von 30 % bei einem zu versteuernden Haushaltseinkommen von bis zu 40.000 € jährlich.","Dieser Bonus ist bei Nichtwohngebäuden nicht anwendbar.")</f>
        <v>Einkommensbonus von 30 % bei einem zu versteuernden Haushaltseinkommen von bis zu 40.000 € jährlich.</v>
      </c>
      <c r="B24" s="120"/>
      <c r="C24" s="120"/>
      <c r="D24" s="120"/>
      <c r="E24" s="120"/>
      <c r="F24" s="120"/>
      <c r="G24" s="121"/>
    </row>
    <row r="25" spans="1:11" ht="7.5" customHeight="1" thickBot="1" x14ac:dyDescent="0.4">
      <c r="A25" s="3"/>
      <c r="G25" s="7"/>
    </row>
    <row r="26" spans="1:11" ht="19" thickBot="1" x14ac:dyDescent="0.5">
      <c r="A26" s="94" t="s">
        <v>11</v>
      </c>
      <c r="B26" s="95"/>
      <c r="C26" s="95"/>
      <c r="D26" s="95"/>
      <c r="E26" s="95"/>
      <c r="F26" s="114" t="s">
        <v>27</v>
      </c>
      <c r="G26" s="115"/>
      <c r="K26" s="15"/>
    </row>
    <row r="27" spans="1:11" x14ac:dyDescent="0.35">
      <c r="A27" s="13" t="s">
        <v>65</v>
      </c>
      <c r="B27" s="14"/>
      <c r="C27" s="14"/>
      <c r="D27" s="14"/>
      <c r="E27" s="14"/>
      <c r="F27" s="82">
        <f>IF(F6="Wohngebäude",('Detailrechnung WEG'!L8/MIN('Detailrechnung WEG'!F6,C8)),IF(AND($G$15="ja",OR($C$6="Wärmepumpe",C6="mehrere EE-Wärmeerzeuger")),0.05,0)+0.3)</f>
        <v>0.7</v>
      </c>
      <c r="G27" s="83"/>
      <c r="K27" s="15"/>
    </row>
    <row r="28" spans="1:11" x14ac:dyDescent="0.35">
      <c r="A28" s="6" t="str">
        <f>IF(F6="Wohngebäude","Hinweis: Die maximale Förderquote beträgt 70 % ggf. zzgl. Emissionsminderungs-Zuschlag.","Hinweis: Bei Nichtwohngebäuden sind 35 % Förderung möglich, ggf. zzgl. Emissionsminderungs-Zuschlag.")</f>
        <v>Hinweis: Die maximale Förderquote beträgt 70 % ggf. zzgl. Emissionsminderungs-Zuschlag.</v>
      </c>
      <c r="G28" s="7"/>
    </row>
    <row r="29" spans="1:11" ht="7.5" customHeight="1" x14ac:dyDescent="0.35">
      <c r="A29" s="6"/>
      <c r="G29" s="7"/>
    </row>
    <row r="30" spans="1:11" x14ac:dyDescent="0.35">
      <c r="A30" s="5" t="s">
        <v>15</v>
      </c>
      <c r="F30" s="87">
        <f>IF(F6="Wohngebäude",IF(G7&lt;7,30000+IF(AND(G7&lt;7,G7&gt;1),(G7-1)*15000),30000+5*15000+(G7-6)*8000),IF(G7&lt;=150,30000,0)+IF(Förderrechner!G7&gt;150,IF(Förderrechner!G7&lt;=1000,IF(Förderrechner!G7&lt;=400,200*G7,120*(G7-400)+200*400),80*(G7-1000)+120*(600)+200*400),0))*(G8/G7)</f>
        <v>30000</v>
      </c>
      <c r="G30" s="88"/>
    </row>
    <row r="31" spans="1:11" x14ac:dyDescent="0.35">
      <c r="A31" s="35" t="s">
        <v>28</v>
      </c>
      <c r="F31" s="87">
        <f>IF(F6="Nichtwohngebäude",F33,IF(C8&lt;=F30,C8,F30)*'Detailrechnung WEG'!H6)</f>
        <v>9000</v>
      </c>
      <c r="G31" s="88"/>
    </row>
    <row r="32" spans="1:11" ht="15" thickBot="1" x14ac:dyDescent="0.4">
      <c r="A32" s="51" t="s">
        <v>33</v>
      </c>
      <c r="B32" s="52"/>
      <c r="C32" s="52"/>
      <c r="D32" s="52"/>
      <c r="E32" s="52"/>
      <c r="F32" s="107">
        <f>'Detailrechnung WEG'!L7</f>
        <v>11999.999999999998</v>
      </c>
      <c r="G32" s="108"/>
    </row>
    <row r="33" spans="1:12" ht="15" thickTop="1" x14ac:dyDescent="0.35">
      <c r="A33" s="5" t="s">
        <v>6</v>
      </c>
      <c r="F33" s="87">
        <f>IF(C8&lt;=F30,C8,F30)*F27+IF(AND(F6="Nichtwohngebäude",OR(C6="Biomasseheizung",C6="mehrere EE-Wärmeerzeuger"),G12="ja"),2500,0)</f>
        <v>21000</v>
      </c>
      <c r="G33" s="88"/>
      <c r="K33" s="12"/>
      <c r="L33" s="12"/>
    </row>
    <row r="34" spans="1:12" ht="7.5" customHeight="1" x14ac:dyDescent="0.35">
      <c r="A34" s="6"/>
      <c r="G34" s="7"/>
    </row>
    <row r="35" spans="1:12" ht="51.75" customHeight="1" x14ac:dyDescent="0.35">
      <c r="A35" s="103" t="s">
        <v>48</v>
      </c>
      <c r="B35" s="104"/>
      <c r="C35" s="104"/>
      <c r="D35" s="104"/>
      <c r="E35" s="104"/>
      <c r="F35" s="104"/>
      <c r="G35" s="105"/>
    </row>
    <row r="36" spans="1:12" x14ac:dyDescent="0.35">
      <c r="A36" s="103"/>
      <c r="B36" s="104"/>
      <c r="C36" s="104"/>
      <c r="D36" s="104"/>
      <c r="E36" s="104"/>
      <c r="F36" s="104"/>
      <c r="G36" s="105"/>
    </row>
    <row r="37" spans="1:12" ht="8.5" customHeight="1" thickBot="1" x14ac:dyDescent="0.4">
      <c r="A37" s="106"/>
      <c r="B37" s="90"/>
      <c r="C37" s="90"/>
      <c r="D37" s="90"/>
      <c r="E37" s="90"/>
      <c r="F37" s="90"/>
      <c r="G37" s="91"/>
    </row>
    <row r="38" spans="1:12" ht="7.5" customHeight="1" x14ac:dyDescent="0.35"/>
    <row r="39" spans="1:12" ht="15.65" customHeight="1" x14ac:dyDescent="0.35">
      <c r="A39" s="98" t="s">
        <v>1</v>
      </c>
      <c r="B39" s="98"/>
      <c r="C39" s="98"/>
      <c r="D39" s="98"/>
      <c r="E39" s="98"/>
      <c r="F39" s="99" t="s">
        <v>2</v>
      </c>
      <c r="G39" s="100"/>
    </row>
    <row r="40" spans="1:12" ht="7.5" customHeight="1" x14ac:dyDescent="0.35">
      <c r="A40" s="9"/>
      <c r="B40" s="9"/>
      <c r="C40" s="9"/>
      <c r="D40" s="9"/>
      <c r="E40" s="9"/>
      <c r="F40" s="10"/>
      <c r="G40" s="11"/>
    </row>
    <row r="41" spans="1:12" x14ac:dyDescent="0.35">
      <c r="A41" s="8" t="s">
        <v>3</v>
      </c>
      <c r="B41" s="102" t="s">
        <v>4</v>
      </c>
      <c r="C41" s="102"/>
      <c r="E41" s="93" t="s">
        <v>5</v>
      </c>
      <c r="F41" s="93"/>
    </row>
    <row r="42" spans="1:12" ht="8.5" customHeight="1" x14ac:dyDescent="0.35"/>
    <row r="43" spans="1:12" x14ac:dyDescent="0.35">
      <c r="A43" s="101" t="s">
        <v>23</v>
      </c>
      <c r="B43" s="101"/>
      <c r="C43" s="101"/>
      <c r="D43" s="101"/>
      <c r="E43" s="101"/>
      <c r="F43" s="101"/>
      <c r="G43" s="101"/>
    </row>
    <row r="44" spans="1:12" hidden="1" x14ac:dyDescent="0.35">
      <c r="A44" s="97"/>
      <c r="B44" s="97"/>
      <c r="C44" s="97"/>
      <c r="D44" s="97"/>
      <c r="E44" s="97"/>
      <c r="F44" s="97"/>
      <c r="G44" s="97"/>
    </row>
    <row r="45" spans="1:12" ht="15" customHeight="1" x14ac:dyDescent="0.35">
      <c r="A45" s="96" t="s">
        <v>55</v>
      </c>
      <c r="B45" s="96"/>
      <c r="C45" s="96"/>
      <c r="D45" s="96"/>
      <c r="E45" s="96"/>
      <c r="F45" s="96"/>
      <c r="G45" s="96"/>
    </row>
    <row r="46" spans="1:12" ht="30" customHeight="1" x14ac:dyDescent="0.35">
      <c r="A46" s="96" t="s">
        <v>54</v>
      </c>
      <c r="B46" s="96"/>
      <c r="C46" s="96"/>
      <c r="D46" s="96"/>
      <c r="E46" s="96"/>
      <c r="F46" s="96"/>
      <c r="G46" s="96"/>
    </row>
    <row r="47" spans="1:12" x14ac:dyDescent="0.35">
      <c r="A47" s="92" t="s">
        <v>60</v>
      </c>
      <c r="B47" s="92"/>
      <c r="C47" s="92"/>
      <c r="D47" s="92"/>
      <c r="E47" s="92"/>
      <c r="F47" s="92"/>
      <c r="G47" s="92"/>
    </row>
  </sheetData>
  <sheetProtection algorithmName="SHA-512" hashValue="u0gP1Sc/gPVQEBH3n5jbog4jmG9HNaIa4bLU4sL8HRQhu3tKQneeEOiQe3lFb5khlySEotb/Y5DLS/7e5e64PQ==" saltValue="q11IHinDgpokXSrdoyKsZw==" spinCount="100000" sheet="1" selectLockedCells="1"/>
  <mergeCells count="33">
    <mergeCell ref="F6:G6"/>
    <mergeCell ref="F32:G32"/>
    <mergeCell ref="C8:D8"/>
    <mergeCell ref="F30:G30"/>
    <mergeCell ref="A3:G3"/>
    <mergeCell ref="E8:F8"/>
    <mergeCell ref="C6:D6"/>
    <mergeCell ref="C7:D7"/>
    <mergeCell ref="F26:G26"/>
    <mergeCell ref="A16:G16"/>
    <mergeCell ref="A18:G18"/>
    <mergeCell ref="A21:G21"/>
    <mergeCell ref="A24:G24"/>
    <mergeCell ref="A9:D10"/>
    <mergeCell ref="A12:F12"/>
    <mergeCell ref="A15:F15"/>
    <mergeCell ref="A5:D5"/>
    <mergeCell ref="F27:G27"/>
    <mergeCell ref="E5:G5"/>
    <mergeCell ref="F33:G33"/>
    <mergeCell ref="A13:G13"/>
    <mergeCell ref="A47:G47"/>
    <mergeCell ref="E41:F41"/>
    <mergeCell ref="A26:E26"/>
    <mergeCell ref="A46:G46"/>
    <mergeCell ref="A44:G44"/>
    <mergeCell ref="A45:G45"/>
    <mergeCell ref="A39:E39"/>
    <mergeCell ref="F39:G39"/>
    <mergeCell ref="A43:G43"/>
    <mergeCell ref="B41:C41"/>
    <mergeCell ref="A35:G37"/>
    <mergeCell ref="F31:G31"/>
  </mergeCells>
  <conditionalFormatting sqref="A8:D8">
    <cfRule type="expression" dxfId="11" priority="3">
      <formula>$C$6&lt;&gt;"Biomasseheizung"</formula>
    </cfRule>
  </conditionalFormatting>
  <conditionalFormatting sqref="A12:G13">
    <cfRule type="expression" dxfId="10" priority="33">
      <formula>(AND($C$6&lt;&gt;"Biomasseheizung",$C$6&lt;&gt;"mehrere EE-Wärmeerzeuger"))</formula>
    </cfRule>
  </conditionalFormatting>
  <conditionalFormatting sqref="A15:G16">
    <cfRule type="expression" dxfId="9" priority="34">
      <formula>(AND($C$6&lt;&gt;"Wärmepumpe",$C$6&lt;&gt;"mehrere EE-Wärmeerzeuger"))</formula>
    </cfRule>
  </conditionalFormatting>
  <conditionalFormatting sqref="A32:G32">
    <cfRule type="expression" dxfId="8" priority="32">
      <formula>$F$6="Nichtwohngebäude"</formula>
    </cfRule>
  </conditionalFormatting>
  <conditionalFormatting sqref="E9:G10">
    <cfRule type="expression" dxfId="7" priority="29">
      <formula>($F$6="Nichtwohngebäude")</formula>
    </cfRule>
  </conditionalFormatting>
  <conditionalFormatting sqref="G9">
    <cfRule type="cellIs" dxfId="6" priority="4" operator="greaterThan">
      <formula>$G$8</formula>
    </cfRule>
  </conditionalFormatting>
  <conditionalFormatting sqref="G23 G20">
    <cfRule type="expression" dxfId="5" priority="30">
      <formula>($F$6="Nichtwohngebäude")</formula>
    </cfRule>
  </conditionalFormatting>
  <conditionalFormatting sqref="G23">
    <cfRule type="cellIs" dxfId="4" priority="1" operator="greaterThan">
      <formula>$G$8</formula>
    </cfRule>
  </conditionalFormatting>
  <dataValidations count="9">
    <dataValidation type="whole" operator="greaterThanOrEqual" allowBlank="1" showInputMessage="1" showErrorMessage="1" sqref="G7" xr:uid="{8D73ECC6-2BA0-48CB-930C-75E623CE34F2}">
      <formula1>1</formula1>
    </dataValidation>
    <dataValidation type="list" allowBlank="1" showInputMessage="1" showErrorMessage="1" sqref="B25" xr:uid="{3FD047EE-CC53-486F-AADD-EDAEF66CD41F}">
      <formula1>#REF!</formula1>
    </dataValidation>
    <dataValidation type="list" allowBlank="1" showInputMessage="1" showErrorMessage="1" sqref="G20 G12 G15" xr:uid="{D2305492-A407-433B-B335-1C52F6267CA0}">
      <formula1>"ja,nein"</formula1>
    </dataValidation>
    <dataValidation type="list" allowBlank="1" showInputMessage="1" showErrorMessage="1" sqref="F26:G26" xr:uid="{F4E8EAA8-BA3B-4A40-8E58-BDC75884E488}">
      <formula1>"2024-2028,2029/30,2031/32,2033/34,2035/36,ab 2037"</formula1>
    </dataValidation>
    <dataValidation type="list" allowBlank="1" showInputMessage="1" showErrorMessage="1" sqref="F6" xr:uid="{F6F65B57-7F8C-4700-817E-06DF5612867C}">
      <formula1>"Wohngebäude, Nichtwohngebäude"</formula1>
    </dataValidation>
    <dataValidation type="list" allowBlank="1" showInputMessage="1" showErrorMessage="1" sqref="C6:D6" xr:uid="{BE021941-C12B-4BB5-A273-05556A11E9F6}">
      <formula1>"Biomasseheizung, Wärmepumpe, Brennstoffzellenheizung, Innovative Heizungstechnik, Anschluss an ein Wärmenetz, Anschluss an ein Gebäudenetz, Solarkollektoranlagen"</formula1>
    </dataValidation>
    <dataValidation type="whole" operator="lessThanOrEqual" allowBlank="1" showInputMessage="1" showErrorMessage="1" sqref="G8:G9" xr:uid="{0558C7C3-2993-4AF8-939D-24D9856384C7}">
      <formula1>G7</formula1>
    </dataValidation>
    <dataValidation type="list" operator="lessThanOrEqual" allowBlank="1" showInputMessage="1" showErrorMessage="1" sqref="G10" xr:uid="{638E038F-29F5-4822-82CC-793E7F562B16}">
      <formula1>"Ja, Nein"</formula1>
    </dataValidation>
    <dataValidation type="whole" operator="lessThanOrEqual" allowBlank="1" showInputMessage="1" showErrorMessage="1" sqref="G23" xr:uid="{80055CF1-CA4A-42CB-B18E-D411C5EB3F6C}">
      <formula1>G9</formula1>
    </dataValidation>
  </dataValidations>
  <hyperlinks>
    <hyperlink ref="F39" r:id="rId1" xr:uid="{F33B1094-3769-425C-9004-4A1922BCBA5A}"/>
    <hyperlink ref="A43:G43" r:id="rId2" display="Hinweis: Kalkulation von Einzelmaßnahmen(EM) zum Heizungstausch. Sind die förderfähigen Kosten ausgeschöpft, werden Umfeldmaßnahmen ab 2024 als EM &quot;Heizungsoptimierung&quot; berücksichtigt.  " xr:uid="{08D2EA05-21E1-4BA1-84DD-8E6F84685CB5}"/>
    <hyperlink ref="A46:G46" r:id="rId3" display="Details zum Emissionsminderungszuschlag bei Biomasseheizungen sowie zur Aufteilung der Ausgaben bei mehreren Wohneinheiten sind den FAQ des BMWK auf www.energiewechsel.de entnommen. " xr:uid="{FBA59D50-E385-474F-88CF-36CE6DCEE471}"/>
    <hyperlink ref="A47:G47" r:id="rId4" display="Weitere Details zur Kostenaufteilung bei ungeteilten MFH entstammen den FAQ der KfW auf www.kfw.de/458" xr:uid="{0516C838-962F-4D7B-99F9-17FB23CE35C2}"/>
    <hyperlink ref="A45:G45" r:id="rId5" display="Die Angaben bilden unser Verständnis der BEG EM Richtlinie ab (Stand: 21.12.23, veröffentlicht: 29.12.23)." xr:uid="{03910F4A-3E69-4D89-94E8-59CE046D45A6}"/>
  </hyperlinks>
  <pageMargins left="0.58876811594202894" right="0.58876811594202894" top="0.78740157499999996" bottom="0.78740157499999996" header="0.3" footer="0.3"/>
  <pageSetup paperSize="9" orientation="portrait" r:id="rId6"/>
  <headerFooter>
    <oddHeader>&amp;L&amp;10Version 3.3.1 - Stand 01.08.2024&amp;R&amp;G</oddHeader>
    <oddFooter xml:space="preserve">&amp;L&amp;8© Öko-Zentrum NRW GmbH, 08/2024 - Alle Rechte vorbehalten. Für die Berechnungsergebnisse wird keine Haftung übernommen.
</oddFooter>
  </headerFooter>
  <legacyDrawing r:id="rId7"/>
  <legacyDrawingHF r:id="rId8"/>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190415A-13A7-4B1A-8F87-BE3F25041F2D}">
  <sheetPr codeName="Tabelle3"/>
  <dimension ref="A1:L172"/>
  <sheetViews>
    <sheetView view="pageLayout" zoomScale="130" zoomScaleNormal="145" zoomScalePageLayoutView="130" workbookViewId="0">
      <selection activeCell="L149" sqref="L149"/>
    </sheetView>
  </sheetViews>
  <sheetFormatPr baseColWidth="10" defaultColWidth="11.453125" defaultRowHeight="14.5" outlineLevelRow="1" x14ac:dyDescent="0.35"/>
  <cols>
    <col min="1" max="1" width="5.26953125" customWidth="1"/>
    <col min="2" max="2" width="3.7265625" customWidth="1"/>
    <col min="3" max="3" width="3.54296875" customWidth="1"/>
    <col min="4" max="4" width="7.453125" customWidth="1"/>
    <col min="5" max="5" width="12.54296875" customWidth="1"/>
    <col min="6" max="6" width="7.7265625" customWidth="1"/>
    <col min="7" max="7" width="7.453125" customWidth="1"/>
    <col min="8" max="8" width="6" customWidth="1"/>
    <col min="9" max="9" width="8.7265625" customWidth="1"/>
    <col min="10" max="10" width="4.7265625" customWidth="1"/>
    <col min="11" max="11" width="9.1796875" customWidth="1"/>
    <col min="12" max="12" width="11" customWidth="1"/>
  </cols>
  <sheetData>
    <row r="1" spans="1:12" ht="23.25" customHeight="1" x14ac:dyDescent="0.35">
      <c r="A1" s="156" t="str">
        <f>"Heizungstausch-Förderung (BEG EM) in "&amp;Förderrechner!F26&amp;CHAR(10)&amp;"für Wohngebäude - "&amp;Förderrechner!C6</f>
        <v>Heizungstausch-Förderung (BEG EM) in 2024-2028
für Wohngebäude - Wärmepumpe</v>
      </c>
      <c r="B1" s="156"/>
      <c r="C1" s="156"/>
      <c r="D1" s="156"/>
      <c r="E1" s="156"/>
      <c r="F1" s="156"/>
      <c r="G1" s="156"/>
      <c r="H1" s="156"/>
      <c r="I1" s="156"/>
      <c r="J1" s="156"/>
      <c r="K1" s="156"/>
      <c r="L1" s="156"/>
    </row>
    <row r="2" spans="1:12" ht="23.25" customHeight="1" x14ac:dyDescent="0.35">
      <c r="A2" s="156"/>
      <c r="B2" s="156"/>
      <c r="C2" s="156"/>
      <c r="D2" s="156"/>
      <c r="E2" s="156"/>
      <c r="F2" s="156"/>
      <c r="G2" s="156"/>
      <c r="H2" s="156"/>
      <c r="I2" s="156"/>
      <c r="J2" s="156"/>
      <c r="K2" s="156"/>
      <c r="L2" s="156"/>
    </row>
    <row r="3" spans="1:12" ht="6.75" customHeight="1" x14ac:dyDescent="0.35">
      <c r="A3" s="79"/>
      <c r="B3" s="79"/>
      <c r="C3" s="79"/>
      <c r="D3" s="79"/>
      <c r="E3" s="79"/>
      <c r="F3" s="79"/>
      <c r="G3" s="79"/>
      <c r="H3" s="79"/>
      <c r="I3" s="79"/>
      <c r="J3" s="79"/>
      <c r="K3" s="79"/>
      <c r="L3" s="79"/>
    </row>
    <row r="4" spans="1:12" ht="37.5" customHeight="1" thickBot="1" x14ac:dyDescent="0.4">
      <c r="A4" s="157" t="s">
        <v>62</v>
      </c>
      <c r="B4" s="158"/>
      <c r="C4" s="158"/>
      <c r="D4" s="158"/>
      <c r="E4" s="158"/>
      <c r="F4" s="158"/>
      <c r="G4" s="158"/>
      <c r="H4" s="158"/>
      <c r="I4" s="158"/>
      <c r="J4" s="159"/>
      <c r="K4" s="159"/>
      <c r="L4" s="159"/>
    </row>
    <row r="5" spans="1:12" ht="43.5" customHeight="1" x14ac:dyDescent="0.35">
      <c r="A5" s="169" t="s">
        <v>41</v>
      </c>
      <c r="B5" s="167"/>
      <c r="C5" s="167"/>
      <c r="D5" s="44" t="s">
        <v>42</v>
      </c>
      <c r="E5" s="44" t="s">
        <v>43</v>
      </c>
      <c r="F5" s="167" t="s">
        <v>29</v>
      </c>
      <c r="G5" s="167"/>
      <c r="H5" s="167" t="s">
        <v>64</v>
      </c>
      <c r="I5" s="167"/>
      <c r="J5" s="167" t="s">
        <v>32</v>
      </c>
      <c r="K5" s="167"/>
      <c r="L5" s="45" t="s">
        <v>30</v>
      </c>
    </row>
    <row r="6" spans="1:12" ht="21" customHeight="1" thickBot="1" x14ac:dyDescent="0.4">
      <c r="A6" s="170" cm="1">
        <f t="array" ref="A6">SUM(--(H23:H164&lt;&gt;""))</f>
        <v>1</v>
      </c>
      <c r="B6" s="171"/>
      <c r="C6" s="171"/>
      <c r="D6" s="55" cm="1">
        <f t="array" ref="D6">SUM(--(B23:B164="x"))</f>
        <v>1</v>
      </c>
      <c r="E6" s="57" cm="1">
        <f t="array" ref="E6">SUM(--(C23:C164="x"))</f>
        <v>1</v>
      </c>
      <c r="F6" s="168">
        <f>Förderrechner!F30</f>
        <v>30000</v>
      </c>
      <c r="G6" s="168"/>
      <c r="H6" s="166">
        <f>L6/MIN(F6,Förderrechner!C8)</f>
        <v>0.3</v>
      </c>
      <c r="I6" s="166"/>
      <c r="J6" s="168">
        <f>Förderrechner!C7</f>
        <v>30000</v>
      </c>
      <c r="K6" s="168"/>
      <c r="L6" s="46">
        <f>J18</f>
        <v>9000</v>
      </c>
    </row>
    <row r="7" spans="1:12" ht="21" customHeight="1" thickBot="1" x14ac:dyDescent="0.4">
      <c r="A7" s="140" t="str">
        <f>"Zusatzförderung für selbstgenutztes Eigentum ("&amp;ROUND(L7/(J6),3)*100&amp;" % der Gesamtinvestition):"</f>
        <v>Zusatzförderung für selbstgenutztes Eigentum (40 % der Gesamtinvestition):</v>
      </c>
      <c r="B7" s="140"/>
      <c r="C7" s="140"/>
      <c r="D7" s="140"/>
      <c r="E7" s="140"/>
      <c r="F7" s="140"/>
      <c r="G7" s="140"/>
      <c r="H7" s="140"/>
      <c r="I7" s="140"/>
      <c r="J7" s="140"/>
      <c r="K7" s="140"/>
      <c r="L7" s="69">
        <f>SUM(K23:K147)</f>
        <v>11999.999999999998</v>
      </c>
    </row>
    <row r="8" spans="1:12" ht="21" customHeight="1" thickTop="1" x14ac:dyDescent="0.35">
      <c r="A8" s="141" t="str">
        <f>"gesamter Förderbetrag ("&amp;ROUND(L8/(J6),3)*100&amp;" % der Gesamtinvestition):"</f>
        <v>gesamter Förderbetrag (70 % der Gesamtinvestition):</v>
      </c>
      <c r="B8" s="141"/>
      <c r="C8" s="141"/>
      <c r="D8" s="141"/>
      <c r="E8" s="141"/>
      <c r="F8" s="141"/>
      <c r="G8" s="141"/>
      <c r="H8" s="141"/>
      <c r="I8" s="141"/>
      <c r="J8" s="141"/>
      <c r="K8" s="141"/>
      <c r="L8" s="68">
        <f>L6+L7</f>
        <v>21000</v>
      </c>
    </row>
    <row r="9" spans="1:12" ht="6.75" customHeight="1" x14ac:dyDescent="0.5">
      <c r="A9" s="65"/>
      <c r="B9" s="65"/>
      <c r="C9" s="65"/>
      <c r="D9" s="65"/>
      <c r="E9" s="65"/>
      <c r="F9" s="65"/>
      <c r="G9" s="64"/>
      <c r="H9" s="64"/>
      <c r="I9" s="64"/>
      <c r="J9" s="64"/>
      <c r="K9" s="64"/>
    </row>
    <row r="10" spans="1:12" ht="19" thickBot="1" x14ac:dyDescent="0.5">
      <c r="A10" s="172" t="s">
        <v>59</v>
      </c>
      <c r="B10" s="172"/>
      <c r="C10" s="172"/>
      <c r="D10" s="172"/>
      <c r="E10" s="172"/>
      <c r="F10" s="172"/>
      <c r="G10" s="172"/>
      <c r="H10" s="172"/>
      <c r="I10" s="172"/>
      <c r="J10" s="142"/>
      <c r="K10" s="142"/>
      <c r="L10" s="142"/>
    </row>
    <row r="11" spans="1:12" ht="15.75" customHeight="1" thickBot="1" x14ac:dyDescent="0.4">
      <c r="A11" s="146" t="s">
        <v>16</v>
      </c>
      <c r="B11" s="147"/>
      <c r="C11" s="147"/>
      <c r="D11" s="147"/>
      <c r="E11" s="147"/>
      <c r="F11" s="147"/>
      <c r="G11" s="147"/>
      <c r="H11" s="147"/>
      <c r="I11" s="148"/>
      <c r="J11" s="137">
        <f>Förderrechner!C7</f>
        <v>30000</v>
      </c>
      <c r="K11" s="138"/>
      <c r="L11" s="139"/>
    </row>
    <row r="12" spans="1:12" ht="15.75" customHeight="1" thickBot="1" x14ac:dyDescent="0.4">
      <c r="A12" s="146" t="s">
        <v>50</v>
      </c>
      <c r="B12" s="147"/>
      <c r="C12" s="147"/>
      <c r="D12" s="147"/>
      <c r="E12" s="147"/>
      <c r="F12" s="147"/>
      <c r="G12" s="147"/>
      <c r="H12" s="147"/>
      <c r="I12" s="148"/>
      <c r="J12" s="134">
        <f>J11-J17</f>
        <v>30000</v>
      </c>
      <c r="K12" s="135"/>
      <c r="L12" s="136"/>
    </row>
    <row r="13" spans="1:12" ht="15.75" customHeight="1" thickBot="1" x14ac:dyDescent="0.4">
      <c r="A13" s="146" t="s">
        <v>46</v>
      </c>
      <c r="B13" s="147"/>
      <c r="C13" s="147"/>
      <c r="D13" s="147"/>
      <c r="E13" s="147"/>
      <c r="F13" s="147"/>
      <c r="G13" s="147"/>
      <c r="H13" s="147"/>
      <c r="I13" s="148"/>
      <c r="J13" s="134">
        <f>Förderrechner!F30</f>
        <v>30000</v>
      </c>
      <c r="K13" s="135"/>
      <c r="L13" s="136"/>
    </row>
    <row r="14" spans="1:12" ht="15.75" customHeight="1" thickBot="1" x14ac:dyDescent="0.4">
      <c r="A14" s="146" t="s">
        <v>18</v>
      </c>
      <c r="B14" s="147"/>
      <c r="C14" s="147"/>
      <c r="D14" s="147"/>
      <c r="E14" s="147"/>
      <c r="F14" s="147"/>
      <c r="G14" s="147"/>
      <c r="H14" s="147"/>
      <c r="I14" s="148"/>
      <c r="J14" s="134" t="str">
        <f>IF(OR(Förderrechner!C6="Wärmepumpe",Förderrechner!C6="mehrere EE-Wärmeerzeuger"),Förderrechner!G15,0)</f>
        <v>nein</v>
      </c>
      <c r="K14" s="135"/>
      <c r="L14" s="136"/>
    </row>
    <row r="15" spans="1:12" ht="15.75" customHeight="1" thickBot="1" x14ac:dyDescent="0.4">
      <c r="A15" s="146" t="str">
        <f>"Grundfördersatz "&amp;IF(J14="ja","inkl. Effizienzbonus","")&amp;IF(Förderrechner!G8&gt;1," (ggf. Zusatzanträge nötig)","")</f>
        <v xml:space="preserve">Grundfördersatz </v>
      </c>
      <c r="B15" s="147"/>
      <c r="C15" s="147"/>
      <c r="D15" s="147"/>
      <c r="E15" s="147"/>
      <c r="F15" s="147"/>
      <c r="G15" s="147"/>
      <c r="H15" s="147"/>
      <c r="I15" s="148"/>
      <c r="J15" s="163">
        <f>0.3+0.05*--(J14="ja")</f>
        <v>0.3</v>
      </c>
      <c r="K15" s="164"/>
      <c r="L15" s="165"/>
    </row>
    <row r="16" spans="1:12" ht="15.75" customHeight="1" thickBot="1" x14ac:dyDescent="0.4">
      <c r="A16" s="146" t="s">
        <v>37</v>
      </c>
      <c r="B16" s="147"/>
      <c r="C16" s="147"/>
      <c r="D16" s="147"/>
      <c r="E16" s="147"/>
      <c r="F16" s="147"/>
      <c r="G16" s="147"/>
      <c r="H16" s="147"/>
      <c r="I16" s="148"/>
      <c r="J16" s="134">
        <f>MIN(J12,J13)*J15</f>
        <v>9000</v>
      </c>
      <c r="K16" s="135"/>
      <c r="L16" s="136"/>
    </row>
    <row r="17" spans="1:12" ht="15.75" customHeight="1" thickBot="1" x14ac:dyDescent="0.4">
      <c r="A17" s="146" t="s">
        <v>19</v>
      </c>
      <c r="B17" s="147"/>
      <c r="C17" s="147"/>
      <c r="D17" s="147"/>
      <c r="E17" s="147"/>
      <c r="F17" s="147"/>
      <c r="G17" s="147"/>
      <c r="H17" s="147"/>
      <c r="I17" s="148"/>
      <c r="J17" s="134">
        <f>IF(OR(Förderrechner!C6="Biomasseheizung",Förderrechner!C6="mehrere EE-Wärmeerzeuger"),IF(Förderrechner!G12="ja",2500,0),0)</f>
        <v>0</v>
      </c>
      <c r="K17" s="135"/>
      <c r="L17" s="136"/>
    </row>
    <row r="18" spans="1:12" ht="15.75" customHeight="1" thickBot="1" x14ac:dyDescent="0.4">
      <c r="A18" s="143" t="str">
        <f>"Grundförderung "&amp;IF(Förderrechner!G8&gt;1, "Basisantrag (ohne Boni f. selbstgenutztes Eigentum):","(ohne Boni für selbstgenutztes Eigentum):")</f>
        <v>Grundförderung (ohne Boni für selbstgenutztes Eigentum):</v>
      </c>
      <c r="B18" s="144"/>
      <c r="C18" s="144"/>
      <c r="D18" s="144"/>
      <c r="E18" s="144"/>
      <c r="F18" s="144"/>
      <c r="G18" s="144"/>
      <c r="H18" s="144"/>
      <c r="I18" s="145"/>
      <c r="J18" s="160">
        <f>MIN(J12,J13)*J15+J17</f>
        <v>9000</v>
      </c>
      <c r="K18" s="161"/>
      <c r="L18" s="162"/>
    </row>
    <row r="19" spans="1:12" ht="6.75" customHeight="1" x14ac:dyDescent="0.55000000000000004">
      <c r="A19" s="33"/>
      <c r="B19" s="33"/>
      <c r="C19" s="33"/>
      <c r="D19" s="33"/>
      <c r="E19" s="33"/>
      <c r="F19" s="33"/>
      <c r="G19" s="34"/>
      <c r="H19" s="34"/>
      <c r="I19" s="34"/>
      <c r="J19" s="34"/>
      <c r="K19" s="34"/>
    </row>
    <row r="20" spans="1:12" ht="19" thickBot="1" x14ac:dyDescent="0.5">
      <c r="A20" s="142" t="str">
        <f>"Berechnung der Boni für selbstgenutztes Eigentum"&amp;IF(Förderrechner!G8&gt;1," (Zusatzantrag)","")</f>
        <v>Berechnung der Boni für selbstgenutztes Eigentum</v>
      </c>
      <c r="B20" s="142"/>
      <c r="C20" s="142"/>
      <c r="D20" s="142"/>
      <c r="E20" s="142"/>
      <c r="F20" s="142"/>
      <c r="G20" s="142"/>
      <c r="H20" s="142"/>
      <c r="I20" s="142"/>
      <c r="J20" s="142"/>
      <c r="K20" s="142"/>
      <c r="L20" s="142"/>
    </row>
    <row r="21" spans="1:12" ht="15.75" customHeight="1" thickBot="1" x14ac:dyDescent="0.4">
      <c r="A21" s="132" t="s">
        <v>8</v>
      </c>
      <c r="B21" s="133" t="s">
        <v>17</v>
      </c>
      <c r="C21" s="133" t="s">
        <v>10</v>
      </c>
      <c r="D21" s="61" t="s">
        <v>51</v>
      </c>
      <c r="E21" s="149" t="s">
        <v>47</v>
      </c>
      <c r="F21" s="154" t="s">
        <v>9</v>
      </c>
      <c r="G21" s="155"/>
      <c r="H21" s="133" t="s">
        <v>24</v>
      </c>
      <c r="I21" s="132" t="s">
        <v>36</v>
      </c>
      <c r="J21" s="133" t="s">
        <v>25</v>
      </c>
      <c r="K21" s="152" t="s">
        <v>31</v>
      </c>
      <c r="L21" s="132" t="s">
        <v>49</v>
      </c>
    </row>
    <row r="22" spans="1:12" ht="126.75" customHeight="1" thickBot="1" x14ac:dyDescent="0.4">
      <c r="A22" s="153"/>
      <c r="B22" s="133"/>
      <c r="C22" s="133"/>
      <c r="D22" s="56" t="s">
        <v>53</v>
      </c>
      <c r="E22" s="150"/>
      <c r="F22" s="31" t="s">
        <v>34</v>
      </c>
      <c r="G22" s="31" t="s">
        <v>35</v>
      </c>
      <c r="H22" s="133"/>
      <c r="I22" s="153"/>
      <c r="J22" s="133"/>
      <c r="K22" s="152"/>
      <c r="L22" s="133"/>
    </row>
    <row r="23" spans="1:12" ht="13.5" customHeight="1" x14ac:dyDescent="0.35">
      <c r="A23" s="21">
        <v>1</v>
      </c>
      <c r="B23" s="16" t="str">
        <f>IF(Förderrechner!$G$9&gt;=A23,"x","")</f>
        <v>x</v>
      </c>
      <c r="C23" s="16" t="str">
        <f>IF(Förderrechner!$G$23&gt;=A23,"x","")</f>
        <v>x</v>
      </c>
      <c r="D23" s="62">
        <v>100</v>
      </c>
      <c r="E23" s="32">
        <f>IF(B23&lt;&gt;"",IF(AND(D23=0,Förderrechner!$G$10="Ja"),"&lt;--Eingabe?",$F$6/(Förderrechner!$G$8)),"")</f>
        <v>30000</v>
      </c>
      <c r="F23" s="18">
        <f>IF(AND(H23&lt;&gt;"",Förderrechner!$G$20="ja",B23&lt;&gt;""),IF(Förderrechner!$F$26="2024-2028",20%,IF(Förderrechner!$F$26="2029/30",17%,IF(Förderrechner!$F$26="2031/32",14%,IF(Förderrechner!F$26="2033/34",11%,IF(Förderrechner!F$26="2035/36",8%,0%))))),"")</f>
        <v>0.2</v>
      </c>
      <c r="G23" s="19">
        <f>IF(C23&lt;&gt;"",30%,"")</f>
        <v>0.3</v>
      </c>
      <c r="H23" s="18">
        <f>IF(B23&lt;&gt;"",0.7-$J$15,IF(A23&lt;=Förderrechner!$G$8,0,""))</f>
        <v>0.39999999999999997</v>
      </c>
      <c r="I23" s="49">
        <f>IF(ISNUMBER(E23),MIN(E23,IF(Förderrechner!$G$10="Nein",$J$12/Förderrechner!$G$7*(Förderrechner!$G$8/Förderrechner!$G$7),IF($D$21="%",D23/100,IF($D$21="10.000stel",D23/10000,D23/1000))*$J$12)),"")</f>
        <v>30000</v>
      </c>
      <c r="J23" s="23">
        <f>IF(H23="","",MIN(H23,SUM(F23:G23))+$J$15)</f>
        <v>0.7</v>
      </c>
      <c r="K23" s="63">
        <f>IFERROR(IF(J23&lt;&gt;"",IFERROR(I23*(J23-$J$15),0),""),"")</f>
        <v>11999.999999999998</v>
      </c>
      <c r="L23" s="59">
        <f>IFERROR((Förderrechner!$C$7-$J$18)*IF(D23="","",D23)/IF($D$21="%",100,IF($D$21="10.000stel",10000,1000))-K23,"")</f>
        <v>9000.0000000000018</v>
      </c>
    </row>
    <row r="24" spans="1:12" ht="13.5" customHeight="1" x14ac:dyDescent="0.35">
      <c r="A24" s="22">
        <v>2</v>
      </c>
      <c r="B24" s="17" t="str">
        <f>IF(Förderrechner!$G$9&gt;=A24,"x","")</f>
        <v/>
      </c>
      <c r="C24" s="17" t="str">
        <f>IF(Förderrechner!$G$23&gt;=A24,"x","")</f>
        <v/>
      </c>
      <c r="D24" s="58"/>
      <c r="E24" s="32" t="str">
        <f>IF(B24&lt;&gt;"",IF(AND(D24=0,Förderrechner!$G$10="Ja"),"&lt;--Eingabe?",$F$6/(Förderrechner!$G$8)),"")</f>
        <v/>
      </c>
      <c r="F24" s="20" t="str">
        <f>IF(AND(H24&lt;&gt;"",Förderrechner!$G$20="ja",B24&lt;&gt;""),IF(Förderrechner!$F$26="2024-2028",20%,IF(Förderrechner!$F$26="2029/30",17%,IF(Förderrechner!$F$26="2031/32",14%,IF(Förderrechner!F$26="2033/34",11%,IF(Förderrechner!F$26="2035/36",8%,0%))))),"")</f>
        <v/>
      </c>
      <c r="G24" s="48" t="str">
        <f>IF(C24&lt;&gt;"",30%,"")</f>
        <v/>
      </c>
      <c r="H24" s="20" t="str">
        <f>IF(B24&lt;&gt;"",0.7-$J$15,IF(A24&lt;=Förderrechner!$G$8,0,""))</f>
        <v/>
      </c>
      <c r="I24" s="49" t="str">
        <f>IF(ISNUMBER(E24),MIN(E24,IF(Förderrechner!$G$10="Nein",0,IF($D$21="%",D24/100,IF($D$21="10.000stel",D24/10000,D24/1000))*$J$12)),"")</f>
        <v/>
      </c>
      <c r="J24" s="24" t="str">
        <f>IF(H24="","",MIN(H24,SUM(F24:G24))+$J$15)</f>
        <v/>
      </c>
      <c r="K24" s="32" t="str">
        <f>IFERROR(IF(J24&lt;&gt;"",IFERROR(I24*(J24-$J$15),0),""),"")</f>
        <v/>
      </c>
      <c r="L24" s="60" t="str">
        <f>IFERROR((Förderrechner!$C$7-$J$18)*IF(D24="","",D24)/IF($D$21="%",100,IF($D$21="10.000stel",10000,1000))-K24,"")</f>
        <v/>
      </c>
    </row>
    <row r="25" spans="1:12" ht="13.5" customHeight="1" x14ac:dyDescent="0.35">
      <c r="A25" s="22">
        <v>3</v>
      </c>
      <c r="B25" s="17" t="str">
        <f>IF(Förderrechner!$G$9&gt;=A25,"x","")</f>
        <v/>
      </c>
      <c r="C25" s="17" t="str">
        <f>IF(Förderrechner!$G$23&gt;=A25,"x","")</f>
        <v/>
      </c>
      <c r="D25" s="58"/>
      <c r="E25" s="32" t="str">
        <f>IF(B25&lt;&gt;"",IF(AND(D25=0,Förderrechner!$G$10="Ja"),"&lt;--Eingabe?",$F$6/(Förderrechner!$G$8)),"")</f>
        <v/>
      </c>
      <c r="F25" s="20" t="str">
        <f>IF(AND(H25&lt;&gt;"",Förderrechner!$G$20="ja",B25&lt;&gt;""),IF(Förderrechner!$F$26="2024-2028",20%,IF(Förderrechner!$F$26="2029/30",17%,IF(Förderrechner!$F$26="2031/32",14%,IF(Förderrechner!F$26="2033/34",11%,IF(Förderrechner!F$26="2035/36",8%,0%))))),"")</f>
        <v/>
      </c>
      <c r="G25" s="48" t="str">
        <f t="shared" ref="G25:G88" si="0">IF(C25&lt;&gt;"",30%,"")</f>
        <v/>
      </c>
      <c r="H25" s="20" t="str">
        <f>IF(B25&lt;&gt;"",0.7-$J$15,IF(A25&lt;=Förderrechner!$G$8,0,""))</f>
        <v/>
      </c>
      <c r="I25" s="49" t="str">
        <f>IF(ISNUMBER(E25),MIN(E25,IF(Förderrechner!$G$10="Nein",0,IF($D$21="%",D25/100,IF($D$21="10.000stel",D25/10000,D25/1000))*$J$12)),"")</f>
        <v/>
      </c>
      <c r="J25" s="24" t="str">
        <f t="shared" ref="J25:J88" si="1">IF(H25="","",MIN(H25,SUM(F25:G25))+$J$15)</f>
        <v/>
      </c>
      <c r="K25" s="32" t="str">
        <f t="shared" ref="K25:K88" si="2">IFERROR(IF(J25&lt;&gt;"",IFERROR(I25*(J25-$J$15),0),""),"")</f>
        <v/>
      </c>
      <c r="L25" s="60" t="str">
        <f>IFERROR((Förderrechner!$C$7-$J$18)*IF(D25="","",D25)/IF($D$21="%",100,IF($D$21="10.000stel",10000,1000))-K25,"")</f>
        <v/>
      </c>
    </row>
    <row r="26" spans="1:12" ht="13.5" customHeight="1" x14ac:dyDescent="0.35">
      <c r="A26" s="22">
        <v>4</v>
      </c>
      <c r="B26" s="17" t="str">
        <f>IF(Förderrechner!$G$9&gt;=A26,"x","")</f>
        <v/>
      </c>
      <c r="C26" s="17" t="str">
        <f>IF(Förderrechner!$G$23&gt;=A26,"x","")</f>
        <v/>
      </c>
      <c r="D26" s="58"/>
      <c r="E26" s="32" t="str">
        <f>IF(B26&lt;&gt;"",IF(AND(D26=0,Förderrechner!$G$10="Ja"),"&lt;--Eingabe?",$F$6/(Förderrechner!$G$8)),"")</f>
        <v/>
      </c>
      <c r="F26" s="20" t="str">
        <f>IF(AND(H26&lt;&gt;"",Förderrechner!$G$20="ja",B26&lt;&gt;""),IF(Förderrechner!$F$26="2024-2028",20%,IF(Förderrechner!$F$26="2029/30",17%,IF(Förderrechner!$F$26="2031/32",14%,IF(Förderrechner!F$26="2033/34",11%,IF(Förderrechner!F$26="2035/36",8%,0%))))),"")</f>
        <v/>
      </c>
      <c r="G26" s="48" t="str">
        <f t="shared" si="0"/>
        <v/>
      </c>
      <c r="H26" s="20" t="str">
        <f>IF(B26&lt;&gt;"",0.7-$J$15,IF(A26&lt;=Förderrechner!$G$8,0,""))</f>
        <v/>
      </c>
      <c r="I26" s="49" t="str">
        <f>IF(ISNUMBER(E26),MIN(E26,IF(Förderrechner!$G$10="Nein",0,IF($D$21="%",D26/100,IF($D$21="10.000stel",D26/10000,D26/1000))*$J$12)),"")</f>
        <v/>
      </c>
      <c r="J26" s="24" t="str">
        <f t="shared" si="1"/>
        <v/>
      </c>
      <c r="K26" s="32" t="str">
        <f t="shared" si="2"/>
        <v/>
      </c>
      <c r="L26" s="60" t="str">
        <f>IFERROR((Förderrechner!$C$7-$J$18)*IF(D26="","",D26)/IF($D$21="%",100,IF($D$21="10.000stel",10000,1000))-K26,"")</f>
        <v/>
      </c>
    </row>
    <row r="27" spans="1:12" ht="13.5" customHeight="1" x14ac:dyDescent="0.35">
      <c r="A27" s="22">
        <v>5</v>
      </c>
      <c r="B27" s="17" t="str">
        <f>IF(Förderrechner!$G$9&gt;=A27,"x","")</f>
        <v/>
      </c>
      <c r="C27" s="17" t="str">
        <f>IF(Förderrechner!$G$23&gt;=A27,"x","")</f>
        <v/>
      </c>
      <c r="D27" s="58"/>
      <c r="E27" s="32" t="str">
        <f>IF(B27&lt;&gt;"",IF(AND(D27=0,Förderrechner!$G$10="Ja"),"&lt;--Eingabe?",$F$6/(Förderrechner!$G$8)),"")</f>
        <v/>
      </c>
      <c r="F27" s="20" t="str">
        <f>IF(AND(H27&lt;&gt;"",Förderrechner!$G$20="ja",B27&lt;&gt;""),IF(Förderrechner!$F$26="2024-2028",20%,IF(Förderrechner!$F$26="2029/30",17%,IF(Förderrechner!$F$26="2031/32",14%,IF(Förderrechner!F$26="2033/34",11%,IF(Förderrechner!F$26="2035/36",8%,0%))))),"")</f>
        <v/>
      </c>
      <c r="G27" s="48" t="str">
        <f t="shared" si="0"/>
        <v/>
      </c>
      <c r="H27" s="20" t="str">
        <f>IF(B27&lt;&gt;"",0.7-$J$15,IF(A27&lt;=Förderrechner!$G$8,0,""))</f>
        <v/>
      </c>
      <c r="I27" s="49" t="str">
        <f>IF(ISNUMBER(E27),MIN(E27,IF(Förderrechner!$G$10="Nein",0,IF($D$21="%",D27/100,IF($D$21="10.000stel",D27/10000,D27/1000))*$J$12)),"")</f>
        <v/>
      </c>
      <c r="J27" s="24" t="str">
        <f t="shared" si="1"/>
        <v/>
      </c>
      <c r="K27" s="32" t="str">
        <f t="shared" si="2"/>
        <v/>
      </c>
      <c r="L27" s="60" t="str">
        <f>IFERROR((Förderrechner!$C$7-$J$18)*IF(D27="","",D27)/IF($D$21="%",100,IF($D$21="10.000stel",10000,1000))-K27,"")</f>
        <v/>
      </c>
    </row>
    <row r="28" spans="1:12" ht="13.5" customHeight="1" x14ac:dyDescent="0.35">
      <c r="A28" s="22">
        <v>6</v>
      </c>
      <c r="B28" s="17" t="str">
        <f>IF(Förderrechner!$G$9&gt;=A28,"x","")</f>
        <v/>
      </c>
      <c r="C28" s="17" t="str">
        <f>IF(Förderrechner!$G$23&gt;=A28,"x","")</f>
        <v/>
      </c>
      <c r="D28" s="58"/>
      <c r="E28" s="32" t="str">
        <f>IF(B28&lt;&gt;"",IF(AND(D28=0,Förderrechner!$G$10="Ja"),"&lt;--Eingabe?",$F$6/(Förderrechner!$G$8)),"")</f>
        <v/>
      </c>
      <c r="F28" s="20" t="str">
        <f>IF(AND(H28&lt;&gt;"",Förderrechner!$G$20="ja",B28&lt;&gt;""),IF(Förderrechner!$F$26="2024-2028",20%,IF(Förderrechner!$F$26="2029/30",17%,IF(Förderrechner!$F$26="2031/32",14%,IF(Förderrechner!F$26="2033/34",11%,IF(Förderrechner!F$26="2035/36",8%,0%))))),"")</f>
        <v/>
      </c>
      <c r="G28" s="48" t="str">
        <f t="shared" si="0"/>
        <v/>
      </c>
      <c r="H28" s="20" t="str">
        <f>IF(B28&lt;&gt;"",0.7-$J$15,IF(A28&lt;=Förderrechner!$G$8,0,""))</f>
        <v/>
      </c>
      <c r="I28" s="49" t="str">
        <f>IF(ISNUMBER(E28),MIN(E28,IF(Förderrechner!$G$10="Nein",0,IF($D$21="%",D28/100,IF($D$21="10.000stel",D28/10000,D28/1000))*$J$12)),"")</f>
        <v/>
      </c>
      <c r="J28" s="24" t="str">
        <f t="shared" si="1"/>
        <v/>
      </c>
      <c r="K28" s="32" t="str">
        <f t="shared" si="2"/>
        <v/>
      </c>
      <c r="L28" s="60" t="str">
        <f>IFERROR((Förderrechner!$C$7-$J$18)*IF(D28="","",D28)/IF($D$21="%",100,IF($D$21="10.000stel",10000,1000))-K28,"")</f>
        <v/>
      </c>
    </row>
    <row r="29" spans="1:12" ht="13.5" customHeight="1" x14ac:dyDescent="0.35">
      <c r="A29" s="22">
        <v>7</v>
      </c>
      <c r="B29" s="17" t="str">
        <f>IF(Förderrechner!$G$9&gt;=A29,"x","")</f>
        <v/>
      </c>
      <c r="C29" s="17" t="str">
        <f>IF(Förderrechner!$G$23&gt;=A29,"x","")</f>
        <v/>
      </c>
      <c r="D29" s="58"/>
      <c r="E29" s="32" t="str">
        <f>IF(B29&lt;&gt;"",IF(AND(D29=0,Förderrechner!$G$10="Ja"),"&lt;--Eingabe?",$F$6/(Förderrechner!$G$8)),"")</f>
        <v/>
      </c>
      <c r="F29" s="20" t="str">
        <f>IF(AND(H29&lt;&gt;"",Förderrechner!$G$20="ja",B29&lt;&gt;""),IF(Förderrechner!$F$26="2024-2028",20%,IF(Förderrechner!$F$26="2029/30",17%,IF(Förderrechner!$F$26="2031/32",14%,IF(Förderrechner!F$26="2033/34",11%,IF(Förderrechner!F$26="2035/36",8%,0%))))),"")</f>
        <v/>
      </c>
      <c r="G29" s="48" t="str">
        <f t="shared" si="0"/>
        <v/>
      </c>
      <c r="H29" s="20" t="str">
        <f>IF(B29&lt;&gt;"",0.7-$J$15,IF(A29&lt;=Förderrechner!$G$8,0,""))</f>
        <v/>
      </c>
      <c r="I29" s="49" t="str">
        <f>IF(ISNUMBER(E29),MIN(E29,IF(Förderrechner!$G$10="Nein",0,IF($D$21="%",D29/100,IF($D$21="10.000stel",D29/10000,D29/1000))*$J$12)),"")</f>
        <v/>
      </c>
      <c r="J29" s="24" t="str">
        <f t="shared" si="1"/>
        <v/>
      </c>
      <c r="K29" s="32" t="str">
        <f t="shared" si="2"/>
        <v/>
      </c>
      <c r="L29" s="60" t="str">
        <f>IFERROR((Förderrechner!$C$7-$J$18)*IF(D29="","",D29)/IF($D$21="%",100,IF($D$21="10.000stel",10000,1000))-K29,"")</f>
        <v/>
      </c>
    </row>
    <row r="30" spans="1:12" ht="13.5" customHeight="1" x14ac:dyDescent="0.35">
      <c r="A30" s="22">
        <v>8</v>
      </c>
      <c r="B30" s="17" t="str">
        <f>IF(Förderrechner!$G$9&gt;=A30,"x","")</f>
        <v/>
      </c>
      <c r="C30" s="17" t="str">
        <f>IF(Förderrechner!$G$23&gt;=A30,"x","")</f>
        <v/>
      </c>
      <c r="D30" s="58"/>
      <c r="E30" s="32" t="str">
        <f>IF(B30&lt;&gt;"",IF(AND(D30=0,Förderrechner!$G$10="Ja"),"&lt;--Eingabe?",$F$6/(Förderrechner!$G$8)),"")</f>
        <v/>
      </c>
      <c r="F30" s="20" t="str">
        <f>IF(AND(H30&lt;&gt;"",Förderrechner!$G$20="ja",B30&lt;&gt;""),IF(Förderrechner!$F$26="2024-2028",20%,IF(Förderrechner!$F$26="2029/30",17%,IF(Förderrechner!$F$26="2031/32",14%,IF(Förderrechner!F$26="2033/34",11%,IF(Förderrechner!F$26="2035/36",8%,0%))))),"")</f>
        <v/>
      </c>
      <c r="G30" s="48" t="str">
        <f t="shared" si="0"/>
        <v/>
      </c>
      <c r="H30" s="20" t="str">
        <f>IF(B30&lt;&gt;"",0.7-$J$15,IF(A30&lt;=Förderrechner!$G$8,0,""))</f>
        <v/>
      </c>
      <c r="I30" s="49" t="str">
        <f>IF(ISNUMBER(E30),MIN(E30,IF(Förderrechner!$G$10="Nein",0,IF($D$21="%",D30/100,IF($D$21="10.000stel",D30/10000,D30/1000))*$J$12)),"")</f>
        <v/>
      </c>
      <c r="J30" s="24" t="str">
        <f t="shared" si="1"/>
        <v/>
      </c>
      <c r="K30" s="32" t="str">
        <f t="shared" si="2"/>
        <v/>
      </c>
      <c r="L30" s="60" t="str">
        <f>IFERROR((Förderrechner!$C$7-$J$18)*IF(D30="","",D30)/IF($D$21="%",100,IF($D$21="10.000stel",10000,1000))-K30,"")</f>
        <v/>
      </c>
    </row>
    <row r="31" spans="1:12" ht="13.5" customHeight="1" x14ac:dyDescent="0.35">
      <c r="A31" s="22">
        <v>9</v>
      </c>
      <c r="B31" s="17" t="str">
        <f>IF(Förderrechner!$G$9&gt;=A31,"x","")</f>
        <v/>
      </c>
      <c r="C31" s="17" t="str">
        <f>IF(Förderrechner!$G$23&gt;=A31,"x","")</f>
        <v/>
      </c>
      <c r="D31" s="58"/>
      <c r="E31" s="32" t="str">
        <f>IF(B31&lt;&gt;"",IF(AND(D31=0,Förderrechner!$G$10="Ja"),"&lt;--Eingabe?",$F$6/(Förderrechner!$G$8)),"")</f>
        <v/>
      </c>
      <c r="F31" s="20" t="str">
        <f>IF(AND(H31&lt;&gt;"",Förderrechner!$G$20="ja",B31&lt;&gt;""),IF(Förderrechner!$F$26="2024-2028",20%,IF(Förderrechner!$F$26="2029/30",17%,IF(Förderrechner!$F$26="2031/32",14%,IF(Förderrechner!F$26="2033/34",11%,IF(Förderrechner!F$26="2035/36",8%,0%))))),"")</f>
        <v/>
      </c>
      <c r="G31" s="48" t="str">
        <f t="shared" si="0"/>
        <v/>
      </c>
      <c r="H31" s="20" t="str">
        <f>IF(B31&lt;&gt;"",0.7-$J$15,IF(A31&lt;=Förderrechner!$G$8,0,""))</f>
        <v/>
      </c>
      <c r="I31" s="49" t="str">
        <f>IF(ISNUMBER(E31),MIN(E31,IF(Förderrechner!$G$10="Nein",0,IF($D$21="%",D31/100,IF($D$21="10.000stel",D31/10000,D31/1000))*$J$12)),"")</f>
        <v/>
      </c>
      <c r="J31" s="24" t="str">
        <f t="shared" si="1"/>
        <v/>
      </c>
      <c r="K31" s="32" t="str">
        <f t="shared" si="2"/>
        <v/>
      </c>
      <c r="L31" s="60" t="str">
        <f>IFERROR((Förderrechner!$C$7-$J$18)*IF(D31="","",D31)/IF($D$21="%",100,IF($D$21="10.000stel",10000,1000))-K31,"")</f>
        <v/>
      </c>
    </row>
    <row r="32" spans="1:12" ht="13.5" customHeight="1" x14ac:dyDescent="0.35">
      <c r="A32" s="22">
        <v>10</v>
      </c>
      <c r="B32" s="17" t="str">
        <f>IF(Förderrechner!$G$9&gt;=A32,"x","")</f>
        <v/>
      </c>
      <c r="C32" s="17" t="str">
        <f>IF(Förderrechner!$G$23&gt;=A32,"x","")</f>
        <v/>
      </c>
      <c r="D32" s="58"/>
      <c r="E32" s="32" t="str">
        <f>IF(B32&lt;&gt;"",IF(AND(D32=0,Förderrechner!$G$10="Ja"),"&lt;--Eingabe?",$F$6/(Förderrechner!$G$8)),"")</f>
        <v/>
      </c>
      <c r="F32" s="20" t="str">
        <f>IF(AND(H32&lt;&gt;"",Förderrechner!$G$20="ja",B32&lt;&gt;""),IF(Förderrechner!$F$26="2024-2028",20%,IF(Förderrechner!$F$26="2029/30",17%,IF(Förderrechner!$F$26="2031/32",14%,IF(Förderrechner!F$26="2033/34",11%,IF(Förderrechner!F$26="2035/36",8%,0%))))),"")</f>
        <v/>
      </c>
      <c r="G32" s="48" t="str">
        <f t="shared" si="0"/>
        <v/>
      </c>
      <c r="H32" s="20" t="str">
        <f>IF(B32&lt;&gt;"",0.7-$J$15,IF(A32&lt;=Förderrechner!$G$8,0,""))</f>
        <v/>
      </c>
      <c r="I32" s="49" t="str">
        <f>IF(ISNUMBER(E32),MIN(E32,IF(Förderrechner!$G$10="Nein",0,IF($D$21="%",D32/100,IF($D$21="10.000stel",D32/10000,D32/1000))*$J$12)),"")</f>
        <v/>
      </c>
      <c r="J32" s="24" t="str">
        <f t="shared" si="1"/>
        <v/>
      </c>
      <c r="K32" s="32" t="str">
        <f t="shared" si="2"/>
        <v/>
      </c>
      <c r="L32" s="60" t="str">
        <f>IFERROR((Förderrechner!$C$7-$J$18)*IF(D32="","",D32)/IF($D$21="%",100,IF($D$21="10.000stel",10000,1000))-K32,"")</f>
        <v/>
      </c>
    </row>
    <row r="33" spans="1:12" ht="13.5" customHeight="1" x14ac:dyDescent="0.35">
      <c r="A33" s="22">
        <v>11</v>
      </c>
      <c r="B33" s="17" t="str">
        <f>IF(Förderrechner!$G$9&gt;=A33,"x","")</f>
        <v/>
      </c>
      <c r="C33" s="17" t="str">
        <f>IF(Förderrechner!$G$23&gt;=A33,"x","")</f>
        <v/>
      </c>
      <c r="D33" s="58"/>
      <c r="E33" s="32" t="str">
        <f>IF(B33&lt;&gt;"",IF(AND(D33=0,Förderrechner!$G$10="Ja"),"&lt;--Eingabe?",$F$6/(Förderrechner!$G$8)),"")</f>
        <v/>
      </c>
      <c r="F33" s="20" t="str">
        <f>IF(AND(H33&lt;&gt;"",Förderrechner!$G$20="ja",B33&lt;&gt;""),IF(Förderrechner!$F$26="2024-2028",20%,IF(Förderrechner!$F$26="2029/30",17%,IF(Förderrechner!$F$26="2031/32",14%,IF(Förderrechner!F$26="2033/34",11%,IF(Förderrechner!F$26="2035/36",8%,0%))))),"")</f>
        <v/>
      </c>
      <c r="G33" s="48" t="str">
        <f t="shared" si="0"/>
        <v/>
      </c>
      <c r="H33" s="20" t="str">
        <f>IF(B33&lt;&gt;"",0.7-$J$15,IF(A33&lt;=Förderrechner!$G$8,0,""))</f>
        <v/>
      </c>
      <c r="I33" s="49" t="str">
        <f>IF(ISNUMBER(E33),MIN(E33,IF(Förderrechner!$G$10="Nein",0,IF($D$21="%",D33/100,IF($D$21="10.000stel",D33/10000,D33/1000))*$J$12)),"")</f>
        <v/>
      </c>
      <c r="J33" s="24" t="str">
        <f t="shared" si="1"/>
        <v/>
      </c>
      <c r="K33" s="32" t="str">
        <f t="shared" si="2"/>
        <v/>
      </c>
      <c r="L33" s="60" t="str">
        <f>IFERROR((Förderrechner!$C$7-$J$18)*IF(D33="","",D33)/IF($D$21="%",100,IF($D$21="10.000stel",10000,1000))-K33,"")</f>
        <v/>
      </c>
    </row>
    <row r="34" spans="1:12" ht="13.5" customHeight="1" x14ac:dyDescent="0.35">
      <c r="A34" s="22">
        <v>12</v>
      </c>
      <c r="B34" s="17" t="str">
        <f>IF(Förderrechner!$G$9&gt;=A34,"x","")</f>
        <v/>
      </c>
      <c r="C34" s="17" t="str">
        <f>IF(Förderrechner!$G$23&gt;=A34,"x","")</f>
        <v/>
      </c>
      <c r="D34" s="58"/>
      <c r="E34" s="32" t="str">
        <f>IF(B34&lt;&gt;"",IF(AND(D34=0,Förderrechner!$G$10="Ja"),"&lt;--Eingabe?",$F$6/(Förderrechner!$G$8)),"")</f>
        <v/>
      </c>
      <c r="F34" s="20" t="str">
        <f>IF(AND(H34&lt;&gt;"",Förderrechner!$G$20="ja",B34&lt;&gt;""),IF(Förderrechner!$F$26="2024-2028",20%,IF(Förderrechner!$F$26="2029/30",17%,IF(Förderrechner!$F$26="2031/32",14%,IF(Förderrechner!F$26="2033/34",11%,IF(Förderrechner!F$26="2035/36",8%,0%))))),"")</f>
        <v/>
      </c>
      <c r="G34" s="48" t="str">
        <f t="shared" si="0"/>
        <v/>
      </c>
      <c r="H34" s="20" t="str">
        <f>IF(B34&lt;&gt;"",0.7-$J$15,IF(A34&lt;=Förderrechner!$G$8,0,""))</f>
        <v/>
      </c>
      <c r="I34" s="49" t="str">
        <f>IF(ISNUMBER(E34),MIN(E34,IF(Förderrechner!$G$10="Nein",0,IF($D$21="%",D34/100,IF($D$21="10.000stel",D34/10000,D34/1000))*$J$12)),"")</f>
        <v/>
      </c>
      <c r="J34" s="24" t="str">
        <f t="shared" si="1"/>
        <v/>
      </c>
      <c r="K34" s="32" t="str">
        <f t="shared" si="2"/>
        <v/>
      </c>
      <c r="L34" s="60" t="str">
        <f>IFERROR((Förderrechner!$C$7-$J$18)*IF(D34="","",D34)/IF($D$21="%",100,IF($D$21="10.000stel",10000,1000))-K34,"")</f>
        <v/>
      </c>
    </row>
    <row r="35" spans="1:12" ht="13.5" customHeight="1" x14ac:dyDescent="0.35">
      <c r="A35" s="22">
        <v>13</v>
      </c>
      <c r="B35" s="17" t="str">
        <f>IF(Förderrechner!$G$9&gt;=A35,"x","")</f>
        <v/>
      </c>
      <c r="C35" s="17" t="str">
        <f>IF(Förderrechner!$G$23&gt;=A35,"x","")</f>
        <v/>
      </c>
      <c r="D35" s="58"/>
      <c r="E35" s="32" t="str">
        <f>IF(B35&lt;&gt;"",IF(AND(D35=0,Förderrechner!$G$10="Ja"),"&lt;--Eingabe?",$F$6/(Förderrechner!$G$8)),"")</f>
        <v/>
      </c>
      <c r="F35" s="20" t="str">
        <f>IF(AND(H35&lt;&gt;"",Förderrechner!$G$20="ja",B35&lt;&gt;""),IF(Förderrechner!$F$26="2024-2028",20%,IF(Förderrechner!$F$26="2029/30",17%,IF(Förderrechner!$F$26="2031/32",14%,IF(Förderrechner!F$26="2033/34",11%,IF(Förderrechner!F$26="2035/36",8%,0%))))),"")</f>
        <v/>
      </c>
      <c r="G35" s="48" t="str">
        <f t="shared" si="0"/>
        <v/>
      </c>
      <c r="H35" s="20" t="str">
        <f>IF(B35&lt;&gt;"",0.7-$J$15,IF(A35&lt;=Förderrechner!$G$8,0,""))</f>
        <v/>
      </c>
      <c r="I35" s="49" t="str">
        <f>IF(ISNUMBER(E35),MIN(E35,IF(Förderrechner!$G$10="Nein",0,IF($D$21="%",D35/100,IF($D$21="10.000stel",D35/10000,D35/1000))*$J$12)),"")</f>
        <v/>
      </c>
      <c r="J35" s="24" t="str">
        <f t="shared" si="1"/>
        <v/>
      </c>
      <c r="K35" s="32" t="str">
        <f t="shared" si="2"/>
        <v/>
      </c>
      <c r="L35" s="60" t="str">
        <f>IFERROR((Förderrechner!$C$7-$J$18)*IF(D35="","",D35)/IF($D$21="%",100,IF($D$21="10.000stel",10000,1000))-K35,"")</f>
        <v/>
      </c>
    </row>
    <row r="36" spans="1:12" ht="13.5" customHeight="1" x14ac:dyDescent="0.35">
      <c r="A36" s="22">
        <v>14</v>
      </c>
      <c r="B36" s="17" t="str">
        <f>IF(Förderrechner!$G$9&gt;=A36,"x","")</f>
        <v/>
      </c>
      <c r="C36" s="17" t="str">
        <f>IF(Förderrechner!$G$23&gt;=A36,"x","")</f>
        <v/>
      </c>
      <c r="D36" s="58"/>
      <c r="E36" s="32" t="str">
        <f>IF(B36&lt;&gt;"",IF(AND(D36=0,Förderrechner!$G$10="Ja"),"&lt;--Eingabe?",$F$6/(Förderrechner!$G$8)),"")</f>
        <v/>
      </c>
      <c r="F36" s="20" t="str">
        <f>IF(AND(H36&lt;&gt;"",Förderrechner!$G$20="ja",B36&lt;&gt;""),IF(Förderrechner!$F$26="2024-2028",20%,IF(Förderrechner!$F$26="2029/30",17%,IF(Förderrechner!$F$26="2031/32",14%,IF(Förderrechner!F$26="2033/34",11%,IF(Förderrechner!F$26="2035/36",8%,0%))))),"")</f>
        <v/>
      </c>
      <c r="G36" s="48" t="str">
        <f t="shared" si="0"/>
        <v/>
      </c>
      <c r="H36" s="20" t="str">
        <f>IF(B36&lt;&gt;"",0.7-$J$15,IF(A36&lt;=Förderrechner!$G$8,0,""))</f>
        <v/>
      </c>
      <c r="I36" s="49" t="str">
        <f>IF(ISNUMBER(E36),MIN(E36,IF(Förderrechner!$G$10="Nein",0,IF($D$21="%",D36/100,IF($D$21="10.000stel",D36/10000,D36/1000))*$J$12)),"")</f>
        <v/>
      </c>
      <c r="J36" s="24" t="str">
        <f t="shared" si="1"/>
        <v/>
      </c>
      <c r="K36" s="32" t="str">
        <f t="shared" si="2"/>
        <v/>
      </c>
      <c r="L36" s="60" t="str">
        <f>IFERROR((Förderrechner!$C$7-$J$18)*IF(D36="","",D36)/IF($D$21="%",100,IF($D$21="10.000stel",10000,1000))-K36,"")</f>
        <v/>
      </c>
    </row>
    <row r="37" spans="1:12" ht="13.5" customHeight="1" thickBot="1" x14ac:dyDescent="0.4">
      <c r="A37" s="70">
        <v>15</v>
      </c>
      <c r="B37" s="71" t="str">
        <f>IF(Förderrechner!$G$9&gt;=A37,"x","")</f>
        <v/>
      </c>
      <c r="C37" s="71" t="str">
        <f>IF(Förderrechner!$G$23&gt;=A37,"x","")</f>
        <v/>
      </c>
      <c r="D37" s="72"/>
      <c r="E37" s="73" t="str">
        <f>IF(B37&lt;&gt;"",IF(AND(D37=0,Förderrechner!$G$10="Ja"),"&lt;--Eingabe?",$F$6/(Förderrechner!$G$8)),"")</f>
        <v/>
      </c>
      <c r="F37" s="74" t="str">
        <f>IF(AND(H37&lt;&gt;"",Förderrechner!$G$20="ja",B37&lt;&gt;""),IF(Förderrechner!$F$26="2024-2028",20%,IF(Förderrechner!$F$26="2029/30",17%,IF(Förderrechner!$F$26="2031/32",14%,IF(Förderrechner!F$26="2033/34",11%,IF(Förderrechner!F$26="2035/36",8%,0%))))),"")</f>
        <v/>
      </c>
      <c r="G37" s="75" t="str">
        <f t="shared" si="0"/>
        <v/>
      </c>
      <c r="H37" s="74" t="str">
        <f>IF(B37&lt;&gt;"",0.7-$J$15,IF(A37&lt;=Förderrechner!$G$8,0,""))</f>
        <v/>
      </c>
      <c r="I37" s="76" t="str">
        <f>IF(ISNUMBER(E37),MIN(E37,IF(Förderrechner!$G$10="Nein",0,IF($D$21="%",D37/100,IF($D$21="10.000stel",D37/10000,D37/1000))*$J$12)),"")</f>
        <v/>
      </c>
      <c r="J37" s="77" t="str">
        <f t="shared" si="1"/>
        <v/>
      </c>
      <c r="K37" s="73" t="str">
        <f t="shared" si="2"/>
        <v/>
      </c>
      <c r="L37" s="78" t="str">
        <f>IFERROR((Förderrechner!$C$7-$J$18)*IF(D37="","",D37)/IF($D$21="%",100,IF($D$21="10.000stel",10000,1000))-K37,"")</f>
        <v/>
      </c>
    </row>
    <row r="38" spans="1:12" ht="13.5" hidden="1" customHeight="1" outlineLevel="1" x14ac:dyDescent="0.35">
      <c r="A38" s="22">
        <v>16</v>
      </c>
      <c r="B38" s="17" t="str">
        <f>IF(Förderrechner!$G$9&gt;=A38,"x","")</f>
        <v/>
      </c>
      <c r="C38" s="17" t="str">
        <f>IF(Förderrechner!$G$23&gt;=A38,"x","")</f>
        <v/>
      </c>
      <c r="D38" s="58"/>
      <c r="E38" s="32" t="str">
        <f>IF(B38&lt;&gt;"",IF(AND(D38=0,Förderrechner!$G$10="Ja"),"&lt;--Eingabe?",$F$6/(Förderrechner!$G$8)),"")</f>
        <v/>
      </c>
      <c r="F38" s="20" t="str">
        <f>IF(AND(H38&lt;&gt;"",Förderrechner!$G$20="ja",B38&lt;&gt;""),IF(Förderrechner!$F$26="2024-2028",20%,IF(Förderrechner!$F$26="2029/30",17%,IF(Förderrechner!$F$26="2031/32",14%,IF(Förderrechner!F$26="2033/34",11%,IF(Förderrechner!F$26="2035/36",8%,0%))))),"")</f>
        <v/>
      </c>
      <c r="G38" s="48" t="str">
        <f t="shared" si="0"/>
        <v/>
      </c>
      <c r="H38" s="20" t="str">
        <f>IF(B38&lt;&gt;"",0.7-$J$15,IF(A38&lt;=Förderrechner!$G$8,0,""))</f>
        <v/>
      </c>
      <c r="I38" s="49" t="str">
        <f>IF(ISNUMBER(E38),MIN(E38,IF(Förderrechner!$G$10="Nein",0,IF($D$21="%",D38/100,IF($D$21="10.000stel",D38/10000,D38/1000))*$J$12)),"")</f>
        <v/>
      </c>
      <c r="J38" s="24" t="str">
        <f t="shared" si="1"/>
        <v/>
      </c>
      <c r="K38" s="32" t="str">
        <f t="shared" si="2"/>
        <v/>
      </c>
      <c r="L38" s="60" t="str">
        <f>IFERROR((Förderrechner!$C$7-$J$18)*IF(D38="","",D38)/IF($D$21="%",100,IF($D$21="10.000stel",10000,1000))-K38,"")</f>
        <v/>
      </c>
    </row>
    <row r="39" spans="1:12" ht="13.5" hidden="1" customHeight="1" outlineLevel="1" x14ac:dyDescent="0.35">
      <c r="A39" s="22">
        <v>17</v>
      </c>
      <c r="B39" s="17" t="str">
        <f>IF(Förderrechner!$G$9&gt;=A39,"x","")</f>
        <v/>
      </c>
      <c r="C39" s="17" t="str">
        <f>IF(Förderrechner!$G$23&gt;=A39,"x","")</f>
        <v/>
      </c>
      <c r="D39" s="58"/>
      <c r="E39" s="32" t="str">
        <f>IF(B39&lt;&gt;"",IF(AND(D39=0,Förderrechner!$G$10="Ja"),"&lt;--Eingabe?",$F$6/(Förderrechner!$G$8)),"")</f>
        <v/>
      </c>
      <c r="F39" s="20" t="str">
        <f>IF(AND(H39&lt;&gt;"",Förderrechner!$G$20="ja",B39&lt;&gt;""),IF(Förderrechner!$F$26="2024-2028",20%,IF(Förderrechner!$F$26="2029/30",17%,IF(Förderrechner!$F$26="2031/32",14%,IF(Förderrechner!F$26="2033/34",11%,IF(Förderrechner!F$26="2035/36",8%,0%))))),"")</f>
        <v/>
      </c>
      <c r="G39" s="48" t="str">
        <f t="shared" si="0"/>
        <v/>
      </c>
      <c r="H39" s="20" t="str">
        <f>IF(B39&lt;&gt;"",0.7-$J$15,IF(A39&lt;=Förderrechner!$G$8,0,""))</f>
        <v/>
      </c>
      <c r="I39" s="49" t="str">
        <f>IF(ISNUMBER(E39),MIN(E39,IF(Förderrechner!$G$10="Nein",0,IF($D$21="%",D39/100,IF($D$21="10.000stel",D39/10000,D39/1000))*$J$12)),"")</f>
        <v/>
      </c>
      <c r="J39" s="24" t="str">
        <f t="shared" si="1"/>
        <v/>
      </c>
      <c r="K39" s="32" t="str">
        <f t="shared" si="2"/>
        <v/>
      </c>
      <c r="L39" s="60" t="str">
        <f>IFERROR((Förderrechner!$C$7-$J$18)*IF(D39="","",D39)/IF($D$21="%",100,IF($D$21="10.000stel",10000,1000))-K39,"")</f>
        <v/>
      </c>
    </row>
    <row r="40" spans="1:12" ht="13.5" hidden="1" customHeight="1" outlineLevel="1" x14ac:dyDescent="0.35">
      <c r="A40" s="22">
        <v>18</v>
      </c>
      <c r="B40" s="17" t="str">
        <f>IF(Förderrechner!$G$9&gt;=A40,"x","")</f>
        <v/>
      </c>
      <c r="C40" s="17" t="str">
        <f>IF(Förderrechner!$G$23&gt;=A40,"x","")</f>
        <v/>
      </c>
      <c r="D40" s="58"/>
      <c r="E40" s="32" t="str">
        <f>IF(B40&lt;&gt;"",IF(AND(D40=0,Förderrechner!$G$10="Ja"),"&lt;--Eingabe?",$F$6/(Förderrechner!$G$8)),"")</f>
        <v/>
      </c>
      <c r="F40" s="20" t="str">
        <f>IF(AND(H40&lt;&gt;"",Förderrechner!$G$20="ja",B40&lt;&gt;""),IF(Förderrechner!$F$26="2024-2028",20%,IF(Förderrechner!$F$26="2029/30",17%,IF(Förderrechner!$F$26="2031/32",14%,IF(Förderrechner!F$26="2033/34",11%,IF(Förderrechner!F$26="2035/36",8%,0%))))),"")</f>
        <v/>
      </c>
      <c r="G40" s="48" t="str">
        <f t="shared" si="0"/>
        <v/>
      </c>
      <c r="H40" s="20" t="str">
        <f>IF(B40&lt;&gt;"",0.7-$J$15,IF(A40&lt;=Förderrechner!$G$8,0,""))</f>
        <v/>
      </c>
      <c r="I40" s="49" t="str">
        <f>IF(ISNUMBER(E40),MIN(E40,IF(Förderrechner!$G$10="Nein",0,IF($D$21="%",D40/100,IF($D$21="10.000stel",D40/10000,D40/1000))*$J$12)),"")</f>
        <v/>
      </c>
      <c r="J40" s="24" t="str">
        <f t="shared" si="1"/>
        <v/>
      </c>
      <c r="K40" s="32" t="str">
        <f t="shared" si="2"/>
        <v/>
      </c>
      <c r="L40" s="60" t="str">
        <f>IFERROR((Förderrechner!$C$7-$J$18)*IF(D40="","",D40)/IF($D$21="%",100,IF($D$21="10.000stel",10000,1000))-K40,"")</f>
        <v/>
      </c>
    </row>
    <row r="41" spans="1:12" ht="13.5" hidden="1" customHeight="1" outlineLevel="1" x14ac:dyDescent="0.35">
      <c r="A41" s="22">
        <v>19</v>
      </c>
      <c r="B41" s="17" t="str">
        <f>IF(Förderrechner!$G$9&gt;=A41,"x","")</f>
        <v/>
      </c>
      <c r="C41" s="17" t="str">
        <f>IF(Förderrechner!$G$23&gt;=A41,"x","")</f>
        <v/>
      </c>
      <c r="D41" s="58"/>
      <c r="E41" s="32" t="str">
        <f>IF(B41&lt;&gt;"",IF(AND(D41=0,Förderrechner!$G$10="Ja"),"&lt;--Eingabe?",$F$6/(Förderrechner!$G$8)),"")</f>
        <v/>
      </c>
      <c r="F41" s="20" t="str">
        <f>IF(AND(H41&lt;&gt;"",Förderrechner!$G$20="ja",B41&lt;&gt;""),IF(Förderrechner!$F$26="2024-2028",20%,IF(Förderrechner!$F$26="2029/30",17%,IF(Förderrechner!$F$26="2031/32",14%,IF(Förderrechner!F$26="2033/34",11%,IF(Förderrechner!F$26="2035/36",8%,0%))))),"")</f>
        <v/>
      </c>
      <c r="G41" s="48" t="str">
        <f t="shared" si="0"/>
        <v/>
      </c>
      <c r="H41" s="20" t="str">
        <f>IF(B41&lt;&gt;"",0.7-$J$15,IF(A41&lt;=Förderrechner!$G$8,0,""))</f>
        <v/>
      </c>
      <c r="I41" s="49" t="str">
        <f>IF(ISNUMBER(E41),MIN(E41,IF(Förderrechner!$G$10="Nein",0,IF($D$21="%",D41/100,IF($D$21="10.000stel",D41/10000,D41/1000))*$J$12)),"")</f>
        <v/>
      </c>
      <c r="J41" s="24" t="str">
        <f t="shared" si="1"/>
        <v/>
      </c>
      <c r="K41" s="32" t="str">
        <f t="shared" si="2"/>
        <v/>
      </c>
      <c r="L41" s="60" t="str">
        <f>IFERROR((Förderrechner!$C$7-$J$18)*IF(D41="","",D41)/IF($D$21="%",100,IF($D$21="10.000stel",10000,1000))-K41,"")</f>
        <v/>
      </c>
    </row>
    <row r="42" spans="1:12" ht="13.5" hidden="1" customHeight="1" outlineLevel="1" x14ac:dyDescent="0.35">
      <c r="A42" s="22">
        <v>20</v>
      </c>
      <c r="B42" s="17" t="str">
        <f>IF(Förderrechner!$G$9&gt;=A42,"x","")</f>
        <v/>
      </c>
      <c r="C42" s="17" t="str">
        <f>IF(Förderrechner!$G$23&gt;=A42,"x","")</f>
        <v/>
      </c>
      <c r="D42" s="58"/>
      <c r="E42" s="32" t="str">
        <f>IF(B42&lt;&gt;"",IF(AND(D42=0,Förderrechner!$G$10="Ja"),"&lt;--Eingabe?",$F$6/(Förderrechner!$G$8)),"")</f>
        <v/>
      </c>
      <c r="F42" s="20" t="str">
        <f>IF(AND(H42&lt;&gt;"",Förderrechner!$G$20="ja",B42&lt;&gt;""),IF(Förderrechner!$F$26="2024-2028",20%,IF(Förderrechner!$F$26="2029/30",17%,IF(Förderrechner!$F$26="2031/32",14%,IF(Förderrechner!F$26="2033/34",11%,IF(Förderrechner!F$26="2035/36",8%,0%))))),"")</f>
        <v/>
      </c>
      <c r="G42" s="48" t="str">
        <f t="shared" si="0"/>
        <v/>
      </c>
      <c r="H42" s="20" t="str">
        <f>IF(B42&lt;&gt;"",0.7-$J$15,IF(A42&lt;=Förderrechner!$G$8,0,""))</f>
        <v/>
      </c>
      <c r="I42" s="49" t="str">
        <f>IF(ISNUMBER(E42),MIN(E42,IF(Förderrechner!$G$10="Nein",0,IF($D$21="%",D42/100,IF($D$21="10.000stel",D42/10000,D42/1000))*$J$12)),"")</f>
        <v/>
      </c>
      <c r="J42" s="24" t="str">
        <f t="shared" si="1"/>
        <v/>
      </c>
      <c r="K42" s="32" t="str">
        <f t="shared" si="2"/>
        <v/>
      </c>
      <c r="L42" s="60" t="str">
        <f>IFERROR((Förderrechner!$C$7-$J$18)*IF(D42="","",D42)/IF($D$21="%",100,IF($D$21="10.000stel",10000,1000))-K42,"")</f>
        <v/>
      </c>
    </row>
    <row r="43" spans="1:12" ht="13.5" hidden="1" customHeight="1" outlineLevel="1" x14ac:dyDescent="0.35">
      <c r="A43" s="22">
        <v>21</v>
      </c>
      <c r="B43" s="17" t="str">
        <f>IF(Förderrechner!$G$9&gt;=A43,"x","")</f>
        <v/>
      </c>
      <c r="C43" s="17" t="str">
        <f>IF(Förderrechner!$G$23&gt;=A43,"x","")</f>
        <v/>
      </c>
      <c r="D43" s="58"/>
      <c r="E43" s="32" t="str">
        <f>IF(B43&lt;&gt;"",IF(AND(D43=0,Förderrechner!$G$10="Ja"),"&lt;--Eingabe?",$F$6/(Förderrechner!$G$8)),"")</f>
        <v/>
      </c>
      <c r="F43" s="20" t="str">
        <f>IF(AND(H43&lt;&gt;"",Förderrechner!$G$20="ja",B43&lt;&gt;""),IF(Förderrechner!$F$26="2024-2028",20%,IF(Förderrechner!$F$26="2029/30",17%,IF(Förderrechner!$F$26="2031/32",14%,IF(Förderrechner!F$26="2033/34",11%,IF(Förderrechner!F$26="2035/36",8%,0%))))),"")</f>
        <v/>
      </c>
      <c r="G43" s="48" t="str">
        <f t="shared" si="0"/>
        <v/>
      </c>
      <c r="H43" s="20" t="str">
        <f>IF(B43&lt;&gt;"",0.7-$J$15,IF(A43&lt;=Förderrechner!$G$8,0,""))</f>
        <v/>
      </c>
      <c r="I43" s="49" t="str">
        <f>IF(ISNUMBER(E43),MIN(E43,IF(Förderrechner!$G$10="Nein",0,IF($D$21="%",D43/100,IF($D$21="10.000stel",D43/10000,D43/1000))*$J$12)),"")</f>
        <v/>
      </c>
      <c r="J43" s="24" t="str">
        <f t="shared" si="1"/>
        <v/>
      </c>
      <c r="K43" s="32" t="str">
        <f t="shared" si="2"/>
        <v/>
      </c>
      <c r="L43" s="60" t="str">
        <f>IFERROR((Förderrechner!$C$7-$J$18)*IF(D43="","",D43)/IF($D$21="%",100,IF($D$21="10.000stel",10000,1000))-K43,"")</f>
        <v/>
      </c>
    </row>
    <row r="44" spans="1:12" ht="13.5" hidden="1" customHeight="1" outlineLevel="1" x14ac:dyDescent="0.35">
      <c r="A44" s="22">
        <v>22</v>
      </c>
      <c r="B44" s="17" t="str">
        <f>IF(Förderrechner!$G$9&gt;=A44,"x","")</f>
        <v/>
      </c>
      <c r="C44" s="17" t="str">
        <f>IF(Förderrechner!$G$23&gt;=A44,"x","")</f>
        <v/>
      </c>
      <c r="D44" s="58"/>
      <c r="E44" s="32" t="str">
        <f>IF(B44&lt;&gt;"",IF(AND(D44=0,Förderrechner!$G$10="Ja"),"&lt;--Eingabe?",$F$6/(Förderrechner!$G$8)),"")</f>
        <v/>
      </c>
      <c r="F44" s="20" t="str">
        <f>IF(AND(H44&lt;&gt;"",Förderrechner!$G$20="ja",B44&lt;&gt;""),IF(Förderrechner!$F$26="2024-2028",20%,IF(Förderrechner!$F$26="2029/30",17%,IF(Förderrechner!$F$26="2031/32",14%,IF(Förderrechner!F$26="2033/34",11%,IF(Förderrechner!F$26="2035/36",8%,0%))))),"")</f>
        <v/>
      </c>
      <c r="G44" s="48" t="str">
        <f t="shared" si="0"/>
        <v/>
      </c>
      <c r="H44" s="20" t="str">
        <f>IF(B44&lt;&gt;"",0.7-$J$15,IF(A44&lt;=Förderrechner!$G$8,0,""))</f>
        <v/>
      </c>
      <c r="I44" s="49" t="str">
        <f>IF(ISNUMBER(E44),MIN(E44,IF(Förderrechner!$G$10="Nein",0,IF($D$21="%",D44/100,IF($D$21="10.000stel",D44/10000,D44/1000))*$J$12)),"")</f>
        <v/>
      </c>
      <c r="J44" s="24" t="str">
        <f t="shared" si="1"/>
        <v/>
      </c>
      <c r="K44" s="32" t="str">
        <f t="shared" si="2"/>
        <v/>
      </c>
      <c r="L44" s="60" t="str">
        <f>IFERROR((Förderrechner!$C$7-$J$18)*IF(D44="","",D44)/IF($D$21="%",100,IF($D$21="10.000stel",10000,1000))-K44,"")</f>
        <v/>
      </c>
    </row>
    <row r="45" spans="1:12" ht="13.5" hidden="1" customHeight="1" outlineLevel="1" x14ac:dyDescent="0.35">
      <c r="A45" s="22">
        <v>23</v>
      </c>
      <c r="B45" s="17" t="str">
        <f>IF(Förderrechner!$G$9&gt;=A45,"x","")</f>
        <v/>
      </c>
      <c r="C45" s="17" t="str">
        <f>IF(Förderrechner!$G$23&gt;=A45,"x","")</f>
        <v/>
      </c>
      <c r="D45" s="58"/>
      <c r="E45" s="32" t="str">
        <f>IF(B45&lt;&gt;"",IF(AND(D45=0,Förderrechner!$G$10="Ja"),"&lt;--Eingabe?",$F$6/(Förderrechner!$G$8)),"")</f>
        <v/>
      </c>
      <c r="F45" s="20" t="str">
        <f>IF(AND(H45&lt;&gt;"",Förderrechner!$G$20="ja",B45&lt;&gt;""),IF(Förderrechner!$F$26="2024-2028",20%,IF(Förderrechner!$F$26="2029/30",17%,IF(Förderrechner!$F$26="2031/32",14%,IF(Förderrechner!F$26="2033/34",11%,IF(Förderrechner!F$26="2035/36",8%,0%))))),"")</f>
        <v/>
      </c>
      <c r="G45" s="48" t="str">
        <f t="shared" si="0"/>
        <v/>
      </c>
      <c r="H45" s="20" t="str">
        <f>IF(B45&lt;&gt;"",0.7-$J$15,IF(A45&lt;=Förderrechner!$G$8,0,""))</f>
        <v/>
      </c>
      <c r="I45" s="49" t="str">
        <f>IF(ISNUMBER(E45),MIN(E45,IF(Förderrechner!$G$10="Nein",0,IF($D$21="%",D45/100,IF($D$21="10.000stel",D45/10000,D45/1000))*$J$12)),"")</f>
        <v/>
      </c>
      <c r="J45" s="24" t="str">
        <f t="shared" si="1"/>
        <v/>
      </c>
      <c r="K45" s="32" t="str">
        <f t="shared" si="2"/>
        <v/>
      </c>
      <c r="L45" s="60" t="str">
        <f>IFERROR((Förderrechner!$C$7-$J$18)*IF(D45="","",D45)/IF($D$21="%",100,IF($D$21="10.000stel",10000,1000))-K45,"")</f>
        <v/>
      </c>
    </row>
    <row r="46" spans="1:12" ht="13.5" hidden="1" customHeight="1" outlineLevel="1" x14ac:dyDescent="0.35">
      <c r="A46" s="22">
        <v>24</v>
      </c>
      <c r="B46" s="17" t="str">
        <f>IF(Förderrechner!$G$9&gt;=A46,"x","")</f>
        <v/>
      </c>
      <c r="C46" s="17" t="str">
        <f>IF(Förderrechner!$G$23&gt;=A46,"x","")</f>
        <v/>
      </c>
      <c r="D46" s="58"/>
      <c r="E46" s="32" t="str">
        <f>IF(B46&lt;&gt;"",IF(AND(D46=0,Förderrechner!$G$10="Ja"),"&lt;--Eingabe?",$F$6/(Förderrechner!$G$8)),"")</f>
        <v/>
      </c>
      <c r="F46" s="20" t="str">
        <f>IF(AND(H46&lt;&gt;"",Förderrechner!$G$20="ja",B46&lt;&gt;""),IF(Förderrechner!$F$26="2024-2028",20%,IF(Förderrechner!$F$26="2029/30",17%,IF(Förderrechner!$F$26="2031/32",14%,IF(Förderrechner!F$26="2033/34",11%,IF(Förderrechner!F$26="2035/36",8%,0%))))),"")</f>
        <v/>
      </c>
      <c r="G46" s="48" t="str">
        <f t="shared" si="0"/>
        <v/>
      </c>
      <c r="H46" s="20" t="str">
        <f>IF(B46&lt;&gt;"",0.7-$J$15,IF(A46&lt;=Förderrechner!$G$8,0,""))</f>
        <v/>
      </c>
      <c r="I46" s="49" t="str">
        <f>IF(ISNUMBER(E46),MIN(E46,IF(Förderrechner!$G$10="Nein",0,IF($D$21="%",D46/100,IF($D$21="10.000stel",D46/10000,D46/1000))*$J$12)),"")</f>
        <v/>
      </c>
      <c r="J46" s="24" t="str">
        <f t="shared" si="1"/>
        <v/>
      </c>
      <c r="K46" s="32" t="str">
        <f t="shared" si="2"/>
        <v/>
      </c>
      <c r="L46" s="60" t="str">
        <f>IFERROR((Förderrechner!$C$7-$J$18)*IF(D46="","",D46)/IF($D$21="%",100,IF($D$21="10.000stel",10000,1000))-K46,"")</f>
        <v/>
      </c>
    </row>
    <row r="47" spans="1:12" ht="13.5" hidden="1" customHeight="1" outlineLevel="1" x14ac:dyDescent="0.35">
      <c r="A47" s="22">
        <v>25</v>
      </c>
      <c r="B47" s="17" t="str">
        <f>IF(Förderrechner!$G$9&gt;=A47,"x","")</f>
        <v/>
      </c>
      <c r="C47" s="17" t="str">
        <f>IF(Förderrechner!$G$23&gt;=A47,"x","")</f>
        <v/>
      </c>
      <c r="D47" s="58"/>
      <c r="E47" s="32" t="str">
        <f>IF(B47&lt;&gt;"",IF(AND(D47=0,Förderrechner!$G$10="Ja"),"&lt;--Eingabe?",$F$6/(Förderrechner!$G$8)),"")</f>
        <v/>
      </c>
      <c r="F47" s="20" t="str">
        <f>IF(AND(H47&lt;&gt;"",Förderrechner!$G$20="ja",B47&lt;&gt;""),IF(Förderrechner!$F$26="2024-2028",20%,IF(Förderrechner!$F$26="2029/30",17%,IF(Förderrechner!$F$26="2031/32",14%,IF(Förderrechner!F$26="2033/34",11%,IF(Förderrechner!F$26="2035/36",8%,0%))))),"")</f>
        <v/>
      </c>
      <c r="G47" s="48" t="str">
        <f t="shared" si="0"/>
        <v/>
      </c>
      <c r="H47" s="20" t="str">
        <f>IF(B47&lt;&gt;"",0.7-$J$15,IF(A47&lt;=Förderrechner!$G$8,0,""))</f>
        <v/>
      </c>
      <c r="I47" s="49" t="str">
        <f>IF(ISNUMBER(E47),MIN(E47,IF(Förderrechner!$G$10="Nein",0,IF($D$21="%",D47/100,IF($D$21="10.000stel",D47/10000,D47/1000))*$J$12)),"")</f>
        <v/>
      </c>
      <c r="J47" s="24" t="str">
        <f t="shared" si="1"/>
        <v/>
      </c>
      <c r="K47" s="32" t="str">
        <f t="shared" si="2"/>
        <v/>
      </c>
      <c r="L47" s="60" t="str">
        <f>IFERROR((Förderrechner!$C$7-$J$18)*IF(D47="","",D47)/IF($D$21="%",100,IF($D$21="10.000stel",10000,1000))-K47,"")</f>
        <v/>
      </c>
    </row>
    <row r="48" spans="1:12" ht="13.5" hidden="1" customHeight="1" outlineLevel="1" x14ac:dyDescent="0.35">
      <c r="A48" s="22">
        <v>26</v>
      </c>
      <c r="B48" s="17" t="str">
        <f>IF(Förderrechner!$G$9&gt;=A48,"x","")</f>
        <v/>
      </c>
      <c r="C48" s="17" t="str">
        <f>IF(Förderrechner!$G$23&gt;=A48,"x","")</f>
        <v/>
      </c>
      <c r="D48" s="58"/>
      <c r="E48" s="32" t="str">
        <f>IF(B48&lt;&gt;"",IF(AND(D48=0,Förderrechner!$G$10="Ja"),"&lt;--Eingabe?",$F$6/(Förderrechner!$G$8)),"")</f>
        <v/>
      </c>
      <c r="F48" s="20" t="str">
        <f>IF(AND(H48&lt;&gt;"",Förderrechner!$G$20="ja",B48&lt;&gt;""),IF(Förderrechner!$F$26="2024-2028",20%,IF(Förderrechner!$F$26="2029/30",17%,IF(Förderrechner!$F$26="2031/32",14%,IF(Förderrechner!F$26="2033/34",11%,IF(Förderrechner!F$26="2035/36",8%,0%))))),"")</f>
        <v/>
      </c>
      <c r="G48" s="48" t="str">
        <f t="shared" si="0"/>
        <v/>
      </c>
      <c r="H48" s="20" t="str">
        <f>IF(B48&lt;&gt;"",0.7-$J$15,IF(A48&lt;=Förderrechner!$G$8,0,""))</f>
        <v/>
      </c>
      <c r="I48" s="49" t="str">
        <f>IF(ISNUMBER(E48),MIN(E48,IF(Förderrechner!$G$10="Nein",0,IF($D$21="%",D48/100,IF($D$21="10.000stel",D48/10000,D48/1000))*$J$12)),"")</f>
        <v/>
      </c>
      <c r="J48" s="24" t="str">
        <f t="shared" si="1"/>
        <v/>
      </c>
      <c r="K48" s="32" t="str">
        <f t="shared" si="2"/>
        <v/>
      </c>
      <c r="L48" s="60" t="str">
        <f>IFERROR((Förderrechner!$C$7-$J$18)*IF(D48="","",D48)/IF($D$21="%",100,IF($D$21="10.000stel",10000,1000))-K48,"")</f>
        <v/>
      </c>
    </row>
    <row r="49" spans="1:12" ht="13.5" hidden="1" customHeight="1" outlineLevel="1" x14ac:dyDescent="0.35">
      <c r="A49" s="22">
        <v>27</v>
      </c>
      <c r="B49" s="17" t="str">
        <f>IF(Förderrechner!$G$9&gt;=A49,"x","")</f>
        <v/>
      </c>
      <c r="C49" s="17" t="str">
        <f>IF(Förderrechner!$G$23&gt;=A49,"x","")</f>
        <v/>
      </c>
      <c r="D49" s="58"/>
      <c r="E49" s="32" t="str">
        <f>IF(B49&lt;&gt;"",IF(AND(D49=0,Förderrechner!$G$10="Ja"),"&lt;--Eingabe?",$F$6/(Förderrechner!$G$8)),"")</f>
        <v/>
      </c>
      <c r="F49" s="20" t="str">
        <f>IF(AND(H49&lt;&gt;"",Förderrechner!$G$20="ja",B49&lt;&gt;""),IF(Förderrechner!$F$26="2024-2028",20%,IF(Förderrechner!$F$26="2029/30",17%,IF(Förderrechner!$F$26="2031/32",14%,IF(Förderrechner!F$26="2033/34",11%,IF(Förderrechner!F$26="2035/36",8%,0%))))),"")</f>
        <v/>
      </c>
      <c r="G49" s="48" t="str">
        <f t="shared" si="0"/>
        <v/>
      </c>
      <c r="H49" s="20" t="str">
        <f>IF(B49&lt;&gt;"",0.7-$J$15,IF(A49&lt;=Förderrechner!$G$8,0,""))</f>
        <v/>
      </c>
      <c r="I49" s="49" t="str">
        <f>IF(ISNUMBER(E49),MIN(E49,IF(Förderrechner!$G$10="Nein",0,IF($D$21="%",D49/100,IF($D$21="10.000stel",D49/10000,D49/1000))*$J$12)),"")</f>
        <v/>
      </c>
      <c r="J49" s="24" t="str">
        <f t="shared" si="1"/>
        <v/>
      </c>
      <c r="K49" s="32" t="str">
        <f t="shared" si="2"/>
        <v/>
      </c>
      <c r="L49" s="60" t="str">
        <f>IFERROR((Förderrechner!$C$7-$J$18)*IF(D49="","",D49)/IF($D$21="%",100,IF($D$21="10.000stel",10000,1000))-K49,"")</f>
        <v/>
      </c>
    </row>
    <row r="50" spans="1:12" ht="13.5" hidden="1" customHeight="1" outlineLevel="1" x14ac:dyDescent="0.35">
      <c r="A50" s="22">
        <v>28</v>
      </c>
      <c r="B50" s="17" t="str">
        <f>IF(Förderrechner!$G$9&gt;=A50,"x","")</f>
        <v/>
      </c>
      <c r="C50" s="17" t="str">
        <f>IF(Förderrechner!$G$23&gt;=A50,"x","")</f>
        <v/>
      </c>
      <c r="D50" s="58"/>
      <c r="E50" s="32" t="str">
        <f>IF(B50&lt;&gt;"",IF(AND(D50=0,Förderrechner!$G$10="Ja"),"&lt;--Eingabe?",$F$6/(Förderrechner!$G$8)),"")</f>
        <v/>
      </c>
      <c r="F50" s="20" t="str">
        <f>IF(AND(H50&lt;&gt;"",Förderrechner!$G$20="ja",B50&lt;&gt;""),IF(Förderrechner!$F$26="2024-2028",20%,IF(Förderrechner!$F$26="2029/30",17%,IF(Förderrechner!$F$26="2031/32",14%,IF(Förderrechner!F$26="2033/34",11%,IF(Förderrechner!F$26="2035/36",8%,0%))))),"")</f>
        <v/>
      </c>
      <c r="G50" s="48" t="str">
        <f t="shared" si="0"/>
        <v/>
      </c>
      <c r="H50" s="20" t="str">
        <f>IF(B50&lt;&gt;"",0.7-$J$15,IF(A50&lt;=Förderrechner!$G$8,0,""))</f>
        <v/>
      </c>
      <c r="I50" s="49" t="str">
        <f>IF(ISNUMBER(E50),MIN(E50,IF(Förderrechner!$G$10="Nein",0,IF($D$21="%",D50/100,IF($D$21="10.000stel",D50/10000,D50/1000))*$J$12)),"")</f>
        <v/>
      </c>
      <c r="J50" s="24" t="str">
        <f t="shared" si="1"/>
        <v/>
      </c>
      <c r="K50" s="32" t="str">
        <f t="shared" si="2"/>
        <v/>
      </c>
      <c r="L50" s="60" t="str">
        <f>IFERROR((Förderrechner!$C$7-$J$18)*IF(D50="","",D50)/IF($D$21="%",100,IF($D$21="10.000stel",10000,1000))-K50,"")</f>
        <v/>
      </c>
    </row>
    <row r="51" spans="1:12" ht="13.5" hidden="1" customHeight="1" outlineLevel="1" x14ac:dyDescent="0.35">
      <c r="A51" s="22">
        <v>29</v>
      </c>
      <c r="B51" s="17" t="str">
        <f>IF(Förderrechner!$G$9&gt;=A51,"x","")</f>
        <v/>
      </c>
      <c r="C51" s="17" t="str">
        <f>IF(Förderrechner!$G$23&gt;=A51,"x","")</f>
        <v/>
      </c>
      <c r="D51" s="58"/>
      <c r="E51" s="32" t="str">
        <f>IF(B51&lt;&gt;"",IF(AND(D51=0,Förderrechner!$G$10="Ja"),"&lt;--Eingabe?",$F$6/(Förderrechner!$G$8)),"")</f>
        <v/>
      </c>
      <c r="F51" s="20" t="str">
        <f>IF(AND(H51&lt;&gt;"",Förderrechner!$G$20="ja",B51&lt;&gt;""),IF(Förderrechner!$F$26="2024-2028",20%,IF(Förderrechner!$F$26="2029/30",17%,IF(Förderrechner!$F$26="2031/32",14%,IF(Förderrechner!F$26="2033/34",11%,IF(Förderrechner!F$26="2035/36",8%,0%))))),"")</f>
        <v/>
      </c>
      <c r="G51" s="48" t="str">
        <f t="shared" si="0"/>
        <v/>
      </c>
      <c r="H51" s="20" t="str">
        <f>IF(B51&lt;&gt;"",0.7-$J$15,IF(A51&lt;=Förderrechner!$G$8,0,""))</f>
        <v/>
      </c>
      <c r="I51" s="49" t="str">
        <f>IF(ISNUMBER(E51),MIN(E51,IF(Förderrechner!$G$10="Nein",0,IF($D$21="%",D51/100,IF($D$21="10.000stel",D51/10000,D51/1000))*$J$12)),"")</f>
        <v/>
      </c>
      <c r="J51" s="24" t="str">
        <f t="shared" si="1"/>
        <v/>
      </c>
      <c r="K51" s="32" t="str">
        <f t="shared" si="2"/>
        <v/>
      </c>
      <c r="L51" s="60" t="str">
        <f>IFERROR((Förderrechner!$C$7-$J$18)*IF(D51="","",D51)/IF($D$21="%",100,IF($D$21="10.000stel",10000,1000))-K51,"")</f>
        <v/>
      </c>
    </row>
    <row r="52" spans="1:12" ht="13.5" hidden="1" customHeight="1" outlineLevel="1" x14ac:dyDescent="0.35">
      <c r="A52" s="22">
        <v>30</v>
      </c>
      <c r="B52" s="17" t="str">
        <f>IF(Förderrechner!$G$9&gt;=A52,"x","")</f>
        <v/>
      </c>
      <c r="C52" s="17" t="str">
        <f>IF(Förderrechner!$G$23&gt;=A52,"x","")</f>
        <v/>
      </c>
      <c r="D52" s="58"/>
      <c r="E52" s="32" t="str">
        <f>IF(B52&lt;&gt;"",IF(AND(D52=0,Förderrechner!$G$10="Ja"),"&lt;--Eingabe?",$F$6/(Förderrechner!$G$8)),"")</f>
        <v/>
      </c>
      <c r="F52" s="20" t="str">
        <f>IF(AND(H52&lt;&gt;"",Förderrechner!$G$20="ja",B52&lt;&gt;""),IF(Förderrechner!$F$26="2024-2028",20%,IF(Förderrechner!$F$26="2029/30",17%,IF(Förderrechner!$F$26="2031/32",14%,IF(Förderrechner!F$26="2033/34",11%,IF(Förderrechner!F$26="2035/36",8%,0%))))),"")</f>
        <v/>
      </c>
      <c r="G52" s="48" t="str">
        <f t="shared" si="0"/>
        <v/>
      </c>
      <c r="H52" s="20" t="str">
        <f>IF(B52&lt;&gt;"",0.7-$J$15,IF(A52&lt;=Förderrechner!$G$8,0,""))</f>
        <v/>
      </c>
      <c r="I52" s="49" t="str">
        <f>IF(ISNUMBER(E52),MIN(E52,IF(Förderrechner!$G$10="Nein",0,IF($D$21="%",D52/100,IF($D$21="10.000stel",D52/10000,D52/1000))*$J$12)),"")</f>
        <v/>
      </c>
      <c r="J52" s="24" t="str">
        <f t="shared" si="1"/>
        <v/>
      </c>
      <c r="K52" s="32" t="str">
        <f t="shared" si="2"/>
        <v/>
      </c>
      <c r="L52" s="60" t="str">
        <f>IFERROR((Förderrechner!$C$7-$J$18)*IF(D52="","",D52)/IF($D$21="%",100,IF($D$21="10.000stel",10000,1000))-K52,"")</f>
        <v/>
      </c>
    </row>
    <row r="53" spans="1:12" ht="13.5" hidden="1" customHeight="1" outlineLevel="1" x14ac:dyDescent="0.35">
      <c r="A53" s="22">
        <v>31</v>
      </c>
      <c r="B53" s="17" t="str">
        <f>IF(Förderrechner!$G$9&gt;=A53,"x","")</f>
        <v/>
      </c>
      <c r="C53" s="17" t="str">
        <f>IF(Förderrechner!$G$23&gt;=A53,"x","")</f>
        <v/>
      </c>
      <c r="D53" s="58"/>
      <c r="E53" s="32" t="str">
        <f>IF(B53&lt;&gt;"",IF(AND(D53=0,Förderrechner!$G$10="Ja"),"&lt;--Eingabe?",$F$6/(Förderrechner!$G$8)),"")</f>
        <v/>
      </c>
      <c r="F53" s="20" t="str">
        <f>IF(AND(H53&lt;&gt;"",Förderrechner!$G$20="ja",B53&lt;&gt;""),IF(Förderrechner!$F$26="2024-2028",20%,IF(Förderrechner!$F$26="2029/30",17%,IF(Förderrechner!$F$26="2031/32",14%,IF(Förderrechner!F$26="2033/34",11%,IF(Förderrechner!F$26="2035/36",8%,0%))))),"")</f>
        <v/>
      </c>
      <c r="G53" s="48" t="str">
        <f t="shared" si="0"/>
        <v/>
      </c>
      <c r="H53" s="20" t="str">
        <f>IF(B53&lt;&gt;"",0.7-$J$15,IF(A53&lt;=Förderrechner!$G$8,0,""))</f>
        <v/>
      </c>
      <c r="I53" s="49" t="str">
        <f>IF(ISNUMBER(E53),MIN(E53,IF(Förderrechner!$G$10="Nein",0,IF($D$21="%",D53/100,IF($D$21="10.000stel",D53/10000,D53/1000))*$J$12)),"")</f>
        <v/>
      </c>
      <c r="J53" s="24" t="str">
        <f t="shared" si="1"/>
        <v/>
      </c>
      <c r="K53" s="32" t="str">
        <f t="shared" si="2"/>
        <v/>
      </c>
      <c r="L53" s="60" t="str">
        <f>IFERROR((Förderrechner!$C$7-$J$18)*IF(D53="","",D53)/IF($D$21="%",100,IF($D$21="10.000stel",10000,1000))-K53,"")</f>
        <v/>
      </c>
    </row>
    <row r="54" spans="1:12" ht="13.5" hidden="1" customHeight="1" outlineLevel="1" x14ac:dyDescent="0.35">
      <c r="A54" s="22">
        <v>32</v>
      </c>
      <c r="B54" s="17" t="str">
        <f>IF(Förderrechner!$G$9&gt;=A54,"x","")</f>
        <v/>
      </c>
      <c r="C54" s="17" t="str">
        <f>IF(Förderrechner!$G$23&gt;=A54,"x","")</f>
        <v/>
      </c>
      <c r="D54" s="58"/>
      <c r="E54" s="32" t="str">
        <f>IF(B54&lt;&gt;"",IF(AND(D54=0,Förderrechner!$G$10="Ja"),"&lt;--Eingabe?",$F$6/(Förderrechner!$G$8)),"")</f>
        <v/>
      </c>
      <c r="F54" s="20" t="str">
        <f>IF(AND(H54&lt;&gt;"",Förderrechner!$G$20="ja",B54&lt;&gt;""),IF(Förderrechner!$F$26="2024-2028",20%,IF(Förderrechner!$F$26="2029/30",17%,IF(Förderrechner!$F$26="2031/32",14%,IF(Förderrechner!F$26="2033/34",11%,IF(Förderrechner!F$26="2035/36",8%,0%))))),"")</f>
        <v/>
      </c>
      <c r="G54" s="48" t="str">
        <f t="shared" si="0"/>
        <v/>
      </c>
      <c r="H54" s="20" t="str">
        <f>IF(B54&lt;&gt;"",0.7-$J$15,IF(A54&lt;=Förderrechner!$G$8,0,""))</f>
        <v/>
      </c>
      <c r="I54" s="49" t="str">
        <f>IF(ISNUMBER(E54),MIN(E54,IF(Förderrechner!$G$10="Nein",0,IF($D$21="%",D54/100,IF($D$21="10.000stel",D54/10000,D54/1000))*$J$12)),"")</f>
        <v/>
      </c>
      <c r="J54" s="24" t="str">
        <f t="shared" si="1"/>
        <v/>
      </c>
      <c r="K54" s="32" t="str">
        <f t="shared" si="2"/>
        <v/>
      </c>
      <c r="L54" s="60" t="str">
        <f>IFERROR((Förderrechner!$C$7-$J$18)*IF(D54="","",D54)/IF($D$21="%",100,IF($D$21="10.000stel",10000,1000))-K54,"")</f>
        <v/>
      </c>
    </row>
    <row r="55" spans="1:12" ht="13.5" hidden="1" customHeight="1" outlineLevel="1" x14ac:dyDescent="0.35">
      <c r="A55" s="22">
        <v>33</v>
      </c>
      <c r="B55" s="17" t="str">
        <f>IF(Förderrechner!$G$9&gt;=A55,"x","")</f>
        <v/>
      </c>
      <c r="C55" s="17" t="str">
        <f>IF(Förderrechner!$G$23&gt;=A55,"x","")</f>
        <v/>
      </c>
      <c r="D55" s="58"/>
      <c r="E55" s="32" t="str">
        <f>IF(B55&lt;&gt;"",IF(AND(D55=0,Förderrechner!$G$10="Ja"),"&lt;--Eingabe?",$F$6/(Förderrechner!$G$8)),"")</f>
        <v/>
      </c>
      <c r="F55" s="20" t="str">
        <f>IF(AND(H55&lt;&gt;"",Förderrechner!$G$20="ja",B55&lt;&gt;""),IF(Förderrechner!$F$26="2024-2028",20%,IF(Förderrechner!$F$26="2029/30",17%,IF(Förderrechner!$F$26="2031/32",14%,IF(Förderrechner!F$26="2033/34",11%,IF(Förderrechner!F$26="2035/36",8%,0%))))),"")</f>
        <v/>
      </c>
      <c r="G55" s="48" t="str">
        <f t="shared" si="0"/>
        <v/>
      </c>
      <c r="H55" s="20" t="str">
        <f>IF(B55&lt;&gt;"",0.7-$J$15,IF(A55&lt;=Förderrechner!$G$8,0,""))</f>
        <v/>
      </c>
      <c r="I55" s="49" t="str">
        <f>IF(ISNUMBER(E55),MIN(E55,IF(Förderrechner!$G$10="Nein",0,IF($D$21="%",D55/100,IF($D$21="10.000stel",D55/10000,D55/1000))*$J$12)),"")</f>
        <v/>
      </c>
      <c r="J55" s="24" t="str">
        <f t="shared" si="1"/>
        <v/>
      </c>
      <c r="K55" s="32" t="str">
        <f t="shared" si="2"/>
        <v/>
      </c>
      <c r="L55" s="60" t="str">
        <f>IFERROR((Förderrechner!$C$7-$J$18)*IF(D55="","",D55)/IF($D$21="%",100,IF($D$21="10.000stel",10000,1000))-K55,"")</f>
        <v/>
      </c>
    </row>
    <row r="56" spans="1:12" ht="13.5" hidden="1" customHeight="1" outlineLevel="1" x14ac:dyDescent="0.35">
      <c r="A56" s="22">
        <v>34</v>
      </c>
      <c r="B56" s="17" t="str">
        <f>IF(Förderrechner!$G$9&gt;=A56,"x","")</f>
        <v/>
      </c>
      <c r="C56" s="17" t="str">
        <f>IF(Förderrechner!$G$23&gt;=A56,"x","")</f>
        <v/>
      </c>
      <c r="D56" s="58"/>
      <c r="E56" s="32" t="str">
        <f>IF(B56&lt;&gt;"",IF(AND(D56=0,Förderrechner!$G$10="Ja"),"&lt;--Eingabe?",$F$6/(Förderrechner!$G$8)),"")</f>
        <v/>
      </c>
      <c r="F56" s="20" t="str">
        <f>IF(AND(H56&lt;&gt;"",Förderrechner!$G$20="ja",B56&lt;&gt;""),IF(Förderrechner!$F$26="2024-2028",20%,IF(Förderrechner!$F$26="2029/30",17%,IF(Förderrechner!$F$26="2031/32",14%,IF(Förderrechner!F$26="2033/34",11%,IF(Förderrechner!F$26="2035/36",8%,0%))))),"")</f>
        <v/>
      </c>
      <c r="G56" s="48" t="str">
        <f t="shared" si="0"/>
        <v/>
      </c>
      <c r="H56" s="20" t="str">
        <f>IF(B56&lt;&gt;"",0.7-$J$15,IF(A56&lt;=Förderrechner!$G$8,0,""))</f>
        <v/>
      </c>
      <c r="I56" s="49" t="str">
        <f>IF(ISNUMBER(E56),MIN(E56,IF(Förderrechner!$G$10="Nein",0,IF($D$21="%",D56/100,IF($D$21="10.000stel",D56/10000,D56/1000))*$J$12)),"")</f>
        <v/>
      </c>
      <c r="J56" s="24" t="str">
        <f t="shared" si="1"/>
        <v/>
      </c>
      <c r="K56" s="32" t="str">
        <f t="shared" si="2"/>
        <v/>
      </c>
      <c r="L56" s="60" t="str">
        <f>IFERROR((Förderrechner!$C$7-$J$18)*IF(D56="","",D56)/IF($D$21="%",100,IF($D$21="10.000stel",10000,1000))-K56,"")</f>
        <v/>
      </c>
    </row>
    <row r="57" spans="1:12" ht="13.5" hidden="1" customHeight="1" outlineLevel="1" x14ac:dyDescent="0.35">
      <c r="A57" s="22">
        <v>35</v>
      </c>
      <c r="B57" s="17" t="str">
        <f>IF(Förderrechner!$G$9&gt;=A57,"x","")</f>
        <v/>
      </c>
      <c r="C57" s="17" t="str">
        <f>IF(Förderrechner!$G$23&gt;=A57,"x","")</f>
        <v/>
      </c>
      <c r="D57" s="58"/>
      <c r="E57" s="32" t="str">
        <f>IF(B57&lt;&gt;"",IF(AND(D57=0,Förderrechner!$G$10="Ja"),"&lt;--Eingabe?",$F$6/(Förderrechner!$G$8)),"")</f>
        <v/>
      </c>
      <c r="F57" s="20" t="str">
        <f>IF(AND(H57&lt;&gt;"",Förderrechner!$G$20="ja",B57&lt;&gt;""),IF(Förderrechner!$F$26="2024-2028",20%,IF(Förderrechner!$F$26="2029/30",17%,IF(Förderrechner!$F$26="2031/32",14%,IF(Förderrechner!F$26="2033/34",11%,IF(Förderrechner!F$26="2035/36",8%,0%))))),"")</f>
        <v/>
      </c>
      <c r="G57" s="48" t="str">
        <f t="shared" si="0"/>
        <v/>
      </c>
      <c r="H57" s="20" t="str">
        <f>IF(B57&lt;&gt;"",0.7-$J$15,IF(A57&lt;=Förderrechner!$G$8,0,""))</f>
        <v/>
      </c>
      <c r="I57" s="49" t="str">
        <f>IF(ISNUMBER(E57),MIN(E57,IF(Förderrechner!$G$10="Nein",0,IF($D$21="%",D57/100,IF($D$21="10.000stel",D57/10000,D57/1000))*$J$12)),"")</f>
        <v/>
      </c>
      <c r="J57" s="24" t="str">
        <f t="shared" si="1"/>
        <v/>
      </c>
      <c r="K57" s="32" t="str">
        <f t="shared" si="2"/>
        <v/>
      </c>
      <c r="L57" s="60" t="str">
        <f>IFERROR((Förderrechner!$C$7-$J$18)*IF(D57="","",D57)/IF($D$21="%",100,IF($D$21="10.000stel",10000,1000))-K57,"")</f>
        <v/>
      </c>
    </row>
    <row r="58" spans="1:12" ht="13.5" hidden="1" customHeight="1" outlineLevel="1" x14ac:dyDescent="0.35">
      <c r="A58" s="22">
        <v>36</v>
      </c>
      <c r="B58" s="17" t="str">
        <f>IF(Förderrechner!$G$9&gt;=A58,"x","")</f>
        <v/>
      </c>
      <c r="C58" s="17" t="str">
        <f>IF(Förderrechner!$G$23&gt;=A58,"x","")</f>
        <v/>
      </c>
      <c r="D58" s="58"/>
      <c r="E58" s="32" t="str">
        <f>IF(B58&lt;&gt;"",IF(AND(D58=0,Förderrechner!$G$10="Ja"),"&lt;--Eingabe?",$F$6/(Förderrechner!$G$8)),"")</f>
        <v/>
      </c>
      <c r="F58" s="20" t="str">
        <f>IF(AND(H58&lt;&gt;"",Förderrechner!$G$20="ja",B58&lt;&gt;""),IF(Förderrechner!$F$26="2024-2028",20%,IF(Förderrechner!$F$26="2029/30",17%,IF(Förderrechner!$F$26="2031/32",14%,IF(Förderrechner!F$26="2033/34",11%,IF(Förderrechner!F$26="2035/36",8%,0%))))),"")</f>
        <v/>
      </c>
      <c r="G58" s="48" t="str">
        <f t="shared" si="0"/>
        <v/>
      </c>
      <c r="H58" s="20" t="str">
        <f>IF(B58&lt;&gt;"",0.7-$J$15,IF(A58&lt;=Förderrechner!$G$8,0,""))</f>
        <v/>
      </c>
      <c r="I58" s="49" t="str">
        <f>IF(ISNUMBER(E58),MIN(E58,IF(Förderrechner!$G$10="Nein",0,IF($D$21="%",D58/100,IF($D$21="10.000stel",D58/10000,D58/1000))*$J$12)),"")</f>
        <v/>
      </c>
      <c r="J58" s="24" t="str">
        <f t="shared" si="1"/>
        <v/>
      </c>
      <c r="K58" s="32" t="str">
        <f t="shared" si="2"/>
        <v/>
      </c>
      <c r="L58" s="60" t="str">
        <f>IFERROR((Förderrechner!$C$7-$J$18)*IF(D58="","",D58)/IF($D$21="%",100,IF($D$21="10.000stel",10000,1000))-K58,"")</f>
        <v/>
      </c>
    </row>
    <row r="59" spans="1:12" ht="13.5" hidden="1" customHeight="1" outlineLevel="1" x14ac:dyDescent="0.35">
      <c r="A59" s="22">
        <v>37</v>
      </c>
      <c r="B59" s="17" t="str">
        <f>IF(Förderrechner!$G$9&gt;=A59,"x","")</f>
        <v/>
      </c>
      <c r="C59" s="17" t="str">
        <f>IF(Förderrechner!$G$23&gt;=A59,"x","")</f>
        <v/>
      </c>
      <c r="D59" s="58"/>
      <c r="E59" s="32" t="str">
        <f>IF(B59&lt;&gt;"",IF(AND(D59=0,Förderrechner!$G$10="Ja"),"&lt;--Eingabe?",$F$6/(Förderrechner!$G$8)),"")</f>
        <v/>
      </c>
      <c r="F59" s="20" t="str">
        <f>IF(AND(H59&lt;&gt;"",Förderrechner!$G$20="ja",B59&lt;&gt;""),IF(Förderrechner!$F$26="2024-2028",20%,IF(Förderrechner!$F$26="2029/30",17%,IF(Förderrechner!$F$26="2031/32",14%,IF(Förderrechner!F$26="2033/34",11%,IF(Förderrechner!F$26="2035/36",8%,0%))))),"")</f>
        <v/>
      </c>
      <c r="G59" s="48" t="str">
        <f t="shared" si="0"/>
        <v/>
      </c>
      <c r="H59" s="20" t="str">
        <f>IF(B59&lt;&gt;"",0.7-$J$15,IF(A59&lt;=Förderrechner!$G$8,0,""))</f>
        <v/>
      </c>
      <c r="I59" s="49" t="str">
        <f>IF(ISNUMBER(E59),MIN(E59,IF(Förderrechner!$G$10="Nein",0,IF($D$21="%",D59/100,IF($D$21="10.000stel",D59/10000,D59/1000))*$J$12)),"")</f>
        <v/>
      </c>
      <c r="J59" s="24" t="str">
        <f t="shared" si="1"/>
        <v/>
      </c>
      <c r="K59" s="32" t="str">
        <f t="shared" si="2"/>
        <v/>
      </c>
      <c r="L59" s="60" t="str">
        <f>IFERROR((Förderrechner!$C$7-$J$18)*IF(D59="","",D59)/IF($D$21="%",100,IF($D$21="10.000stel",10000,1000))-K59,"")</f>
        <v/>
      </c>
    </row>
    <row r="60" spans="1:12" ht="13.5" hidden="1" customHeight="1" outlineLevel="1" x14ac:dyDescent="0.35">
      <c r="A60" s="22">
        <v>38</v>
      </c>
      <c r="B60" s="17" t="str">
        <f>IF(Förderrechner!$G$9&gt;=A60,"x","")</f>
        <v/>
      </c>
      <c r="C60" s="17" t="str">
        <f>IF(Förderrechner!$G$23&gt;=A60,"x","")</f>
        <v/>
      </c>
      <c r="D60" s="58"/>
      <c r="E60" s="32" t="str">
        <f>IF(B60&lt;&gt;"",IF(AND(D60=0,Förderrechner!$G$10="Ja"),"&lt;--Eingabe?",$F$6/(Förderrechner!$G$8)),"")</f>
        <v/>
      </c>
      <c r="F60" s="20" t="str">
        <f>IF(AND(H60&lt;&gt;"",Förderrechner!$G$20="ja",B60&lt;&gt;""),IF(Förderrechner!$F$26="2024-2028",20%,IF(Förderrechner!$F$26="2029/30",17%,IF(Förderrechner!$F$26="2031/32",14%,IF(Förderrechner!F$26="2033/34",11%,IF(Förderrechner!F$26="2035/36",8%,0%))))),"")</f>
        <v/>
      </c>
      <c r="G60" s="48" t="str">
        <f t="shared" si="0"/>
        <v/>
      </c>
      <c r="H60" s="20" t="str">
        <f>IF(B60&lt;&gt;"",0.7-$J$15,IF(A60&lt;=Förderrechner!$G$8,0,""))</f>
        <v/>
      </c>
      <c r="I60" s="49" t="str">
        <f>IF(ISNUMBER(E60),MIN(E60,IF(Förderrechner!$G$10="Nein",0,IF($D$21="%",D60/100,IF($D$21="10.000stel",D60/10000,D60/1000))*$J$12)),"")</f>
        <v/>
      </c>
      <c r="J60" s="24" t="str">
        <f t="shared" si="1"/>
        <v/>
      </c>
      <c r="K60" s="32" t="str">
        <f t="shared" si="2"/>
        <v/>
      </c>
      <c r="L60" s="60" t="str">
        <f>IFERROR((Förderrechner!$C$7-$J$18)*IF(D60="","",D60)/IF($D$21="%",100,IF($D$21="10.000stel",10000,1000))-K60,"")</f>
        <v/>
      </c>
    </row>
    <row r="61" spans="1:12" ht="13.5" hidden="1" customHeight="1" outlineLevel="1" x14ac:dyDescent="0.35">
      <c r="A61" s="22">
        <v>39</v>
      </c>
      <c r="B61" s="17" t="str">
        <f>IF(Förderrechner!$G$9&gt;=A61,"x","")</f>
        <v/>
      </c>
      <c r="C61" s="17" t="str">
        <f>IF(Förderrechner!$G$23&gt;=A61,"x","")</f>
        <v/>
      </c>
      <c r="D61" s="58"/>
      <c r="E61" s="32" t="str">
        <f>IF(B61&lt;&gt;"",IF(AND(D61=0,Förderrechner!$G$10="Ja"),"&lt;--Eingabe?",$F$6/(Förderrechner!$G$8)),"")</f>
        <v/>
      </c>
      <c r="F61" s="20" t="str">
        <f>IF(AND(H61&lt;&gt;"",Förderrechner!$G$20="ja",B61&lt;&gt;""),IF(Förderrechner!$F$26="2024-2028",20%,IF(Förderrechner!$F$26="2029/30",17%,IF(Förderrechner!$F$26="2031/32",14%,IF(Förderrechner!F$26="2033/34",11%,IF(Förderrechner!F$26="2035/36",8%,0%))))),"")</f>
        <v/>
      </c>
      <c r="G61" s="48" t="str">
        <f t="shared" si="0"/>
        <v/>
      </c>
      <c r="H61" s="20" t="str">
        <f>IF(B61&lt;&gt;"",0.7-$J$15,IF(A61&lt;=Förderrechner!$G$8,0,""))</f>
        <v/>
      </c>
      <c r="I61" s="49" t="str">
        <f>IF(ISNUMBER(E61),MIN(E61,IF(Förderrechner!$G$10="Nein",0,IF($D$21="%",D61/100,IF($D$21="10.000stel",D61/10000,D61/1000))*$J$12)),"")</f>
        <v/>
      </c>
      <c r="J61" s="24" t="str">
        <f t="shared" si="1"/>
        <v/>
      </c>
      <c r="K61" s="32" t="str">
        <f t="shared" si="2"/>
        <v/>
      </c>
      <c r="L61" s="60" t="str">
        <f>IFERROR((Förderrechner!$C$7-$J$18)*IF(D61="","",D61)/IF($D$21="%",100,IF($D$21="10.000stel",10000,1000))-K61,"")</f>
        <v/>
      </c>
    </row>
    <row r="62" spans="1:12" ht="13.5" hidden="1" customHeight="1" outlineLevel="1" x14ac:dyDescent="0.35">
      <c r="A62" s="22">
        <v>40</v>
      </c>
      <c r="B62" s="17" t="str">
        <f>IF(Förderrechner!$G$9&gt;=A62,"x","")</f>
        <v/>
      </c>
      <c r="C62" s="17" t="str">
        <f>IF(Förderrechner!$G$23&gt;=A62,"x","")</f>
        <v/>
      </c>
      <c r="D62" s="58"/>
      <c r="E62" s="32" t="str">
        <f>IF(B62&lt;&gt;"",IF(AND(D62=0,Förderrechner!$G$10="Ja"),"&lt;--Eingabe?",$F$6/(Förderrechner!$G$8)),"")</f>
        <v/>
      </c>
      <c r="F62" s="20" t="str">
        <f>IF(AND(H62&lt;&gt;"",Förderrechner!$G$20="ja",B62&lt;&gt;""),IF(Förderrechner!$F$26="2024-2028",20%,IF(Förderrechner!$F$26="2029/30",17%,IF(Förderrechner!$F$26="2031/32",14%,IF(Förderrechner!F$26="2033/34",11%,IF(Förderrechner!F$26="2035/36",8%,0%))))),"")</f>
        <v/>
      </c>
      <c r="G62" s="48" t="str">
        <f t="shared" si="0"/>
        <v/>
      </c>
      <c r="H62" s="20" t="str">
        <f>IF(B62&lt;&gt;"",0.7-$J$15,IF(A62&lt;=Förderrechner!$G$8,0,""))</f>
        <v/>
      </c>
      <c r="I62" s="49" t="str">
        <f>IF(ISNUMBER(E62),MIN(E62,IF(Förderrechner!$G$10="Nein",0,IF($D$21="%",D62/100,IF($D$21="10.000stel",D62/10000,D62/1000))*$J$12)),"")</f>
        <v/>
      </c>
      <c r="J62" s="24" t="str">
        <f t="shared" si="1"/>
        <v/>
      </c>
      <c r="K62" s="32" t="str">
        <f t="shared" si="2"/>
        <v/>
      </c>
      <c r="L62" s="60" t="str">
        <f>IFERROR((Förderrechner!$C$7-$J$18)*IF(D62="","",D62)/IF($D$21="%",100,IF($D$21="10.000stel",10000,1000))-K62,"")</f>
        <v/>
      </c>
    </row>
    <row r="63" spans="1:12" ht="13.5" hidden="1" customHeight="1" outlineLevel="1" x14ac:dyDescent="0.35">
      <c r="A63" s="22">
        <v>41</v>
      </c>
      <c r="B63" s="17" t="str">
        <f>IF(Förderrechner!$G$9&gt;=A63,"x","")</f>
        <v/>
      </c>
      <c r="C63" s="17" t="str">
        <f>IF(Förderrechner!$G$23&gt;=A63,"x","")</f>
        <v/>
      </c>
      <c r="D63" s="58"/>
      <c r="E63" s="32" t="str">
        <f>IF(B63&lt;&gt;"",IF(AND(D63=0,Förderrechner!$G$10="Ja"),"&lt;--Eingabe?",$F$6/(Förderrechner!$G$8)),"")</f>
        <v/>
      </c>
      <c r="F63" s="20" t="str">
        <f>IF(AND(H63&lt;&gt;"",Förderrechner!$G$20="ja",B63&lt;&gt;""),IF(Förderrechner!$F$26="2024-2028",20%,IF(Förderrechner!$F$26="2029/30",17%,IF(Förderrechner!$F$26="2031/32",14%,IF(Förderrechner!F$26="2033/34",11%,IF(Förderrechner!F$26="2035/36",8%,0%))))),"")</f>
        <v/>
      </c>
      <c r="G63" s="48" t="str">
        <f t="shared" si="0"/>
        <v/>
      </c>
      <c r="H63" s="20" t="str">
        <f>IF(B63&lt;&gt;"",0.7-$J$15,IF(A63&lt;=Förderrechner!$G$8,0,""))</f>
        <v/>
      </c>
      <c r="I63" s="49" t="str">
        <f>IF(ISNUMBER(E63),MIN(E63,IF(Förderrechner!$G$10="Nein",0,IF($D$21="%",D63/100,IF($D$21="10.000stel",D63/10000,D63/1000))*$J$12)),"")</f>
        <v/>
      </c>
      <c r="J63" s="24" t="str">
        <f t="shared" si="1"/>
        <v/>
      </c>
      <c r="K63" s="32" t="str">
        <f t="shared" si="2"/>
        <v/>
      </c>
      <c r="L63" s="60" t="str">
        <f>IFERROR((Förderrechner!$C$7-$J$18)*IF(D63="","",D63)/IF($D$21="%",100,IF($D$21="10.000stel",10000,1000))-K63,"")</f>
        <v/>
      </c>
    </row>
    <row r="64" spans="1:12" ht="13.5" hidden="1" customHeight="1" outlineLevel="1" x14ac:dyDescent="0.35">
      <c r="A64" s="22">
        <v>42</v>
      </c>
      <c r="B64" s="17" t="str">
        <f>IF(Förderrechner!$G$9&gt;=A64,"x","")</f>
        <v/>
      </c>
      <c r="C64" s="17" t="str">
        <f>IF(Förderrechner!$G$23&gt;=A64,"x","")</f>
        <v/>
      </c>
      <c r="D64" s="58"/>
      <c r="E64" s="32" t="str">
        <f>IF(B64&lt;&gt;"",IF(AND(D64=0,Förderrechner!$G$10="Ja"),"&lt;--Eingabe?",$F$6/(Förderrechner!$G$8)),"")</f>
        <v/>
      </c>
      <c r="F64" s="20" t="str">
        <f>IF(AND(H64&lt;&gt;"",Förderrechner!$G$20="ja",B64&lt;&gt;""),IF(Förderrechner!$F$26="2024-2028",20%,IF(Förderrechner!$F$26="2029/30",17%,IF(Förderrechner!$F$26="2031/32",14%,IF(Förderrechner!F$26="2033/34",11%,IF(Förderrechner!F$26="2035/36",8%,0%))))),"")</f>
        <v/>
      </c>
      <c r="G64" s="48" t="str">
        <f t="shared" si="0"/>
        <v/>
      </c>
      <c r="H64" s="20" t="str">
        <f>IF(B64&lt;&gt;"",0.7-$J$15,IF(A64&lt;=Förderrechner!$G$8,0,""))</f>
        <v/>
      </c>
      <c r="I64" s="49" t="str">
        <f>IF(ISNUMBER(E64),MIN(E64,IF(Förderrechner!$G$10="Nein",0,IF($D$21="%",D64/100,IF($D$21="10.000stel",D64/10000,D64/1000))*$J$12)),"")</f>
        <v/>
      </c>
      <c r="J64" s="24" t="str">
        <f t="shared" si="1"/>
        <v/>
      </c>
      <c r="K64" s="32" t="str">
        <f t="shared" si="2"/>
        <v/>
      </c>
      <c r="L64" s="60" t="str">
        <f>IFERROR((Förderrechner!$C$7-$J$18)*IF(D64="","",D64)/IF($D$21="%",100,IF($D$21="10.000stel",10000,1000))-K64,"")</f>
        <v/>
      </c>
    </row>
    <row r="65" spans="1:12" ht="13.5" hidden="1" customHeight="1" outlineLevel="1" x14ac:dyDescent="0.35">
      <c r="A65" s="22">
        <v>43</v>
      </c>
      <c r="B65" s="17" t="str">
        <f>IF(Förderrechner!$G$9&gt;=A65,"x","")</f>
        <v/>
      </c>
      <c r="C65" s="17" t="str">
        <f>IF(Förderrechner!$G$23&gt;=A65,"x","")</f>
        <v/>
      </c>
      <c r="D65" s="58"/>
      <c r="E65" s="32" t="str">
        <f>IF(B65&lt;&gt;"",IF(AND(D65=0,Förderrechner!$G$10="Ja"),"&lt;--Eingabe?",$F$6/(Förderrechner!$G$8)),"")</f>
        <v/>
      </c>
      <c r="F65" s="20" t="str">
        <f>IF(AND(H65&lt;&gt;"",Förderrechner!$G$20="ja",B65&lt;&gt;""),IF(Förderrechner!$F$26="2024-2028",20%,IF(Förderrechner!$F$26="2029/30",17%,IF(Förderrechner!$F$26="2031/32",14%,IF(Förderrechner!F$26="2033/34",11%,IF(Förderrechner!F$26="2035/36",8%,0%))))),"")</f>
        <v/>
      </c>
      <c r="G65" s="48" t="str">
        <f t="shared" si="0"/>
        <v/>
      </c>
      <c r="H65" s="20" t="str">
        <f>IF(B65&lt;&gt;"",0.7-$J$15,IF(A65&lt;=Förderrechner!$G$8,0,""))</f>
        <v/>
      </c>
      <c r="I65" s="49" t="str">
        <f>IF(ISNUMBER(E65),MIN(E65,IF(Förderrechner!$G$10="Nein",0,IF($D$21="%",D65/100,IF($D$21="10.000stel",D65/10000,D65/1000))*$J$12)),"")</f>
        <v/>
      </c>
      <c r="J65" s="24" t="str">
        <f t="shared" si="1"/>
        <v/>
      </c>
      <c r="K65" s="32" t="str">
        <f t="shared" si="2"/>
        <v/>
      </c>
      <c r="L65" s="60" t="str">
        <f>IFERROR((Förderrechner!$C$7-$J$18)*IF(D65="","",D65)/IF($D$21="%",100,IF($D$21="10.000stel",10000,1000))-K65,"")</f>
        <v/>
      </c>
    </row>
    <row r="66" spans="1:12" ht="13.5" hidden="1" customHeight="1" outlineLevel="1" x14ac:dyDescent="0.35">
      <c r="A66" s="22">
        <v>44</v>
      </c>
      <c r="B66" s="17" t="str">
        <f>IF(Förderrechner!$G$9&gt;=A66,"x","")</f>
        <v/>
      </c>
      <c r="C66" s="17" t="str">
        <f>IF(Förderrechner!$G$23&gt;=A66,"x","")</f>
        <v/>
      </c>
      <c r="D66" s="58"/>
      <c r="E66" s="32" t="str">
        <f>IF(B66&lt;&gt;"",IF(AND(D66=0,Förderrechner!$G$10="Ja"),"&lt;--Eingabe?",$F$6/(Förderrechner!$G$8)),"")</f>
        <v/>
      </c>
      <c r="F66" s="20" t="str">
        <f>IF(AND(H66&lt;&gt;"",Förderrechner!$G$20="ja",B66&lt;&gt;""),IF(Förderrechner!$F$26="2024-2028",20%,IF(Förderrechner!$F$26="2029/30",17%,IF(Förderrechner!$F$26="2031/32",14%,IF(Förderrechner!F$26="2033/34",11%,IF(Förderrechner!F$26="2035/36",8%,0%))))),"")</f>
        <v/>
      </c>
      <c r="G66" s="48" t="str">
        <f t="shared" si="0"/>
        <v/>
      </c>
      <c r="H66" s="20" t="str">
        <f>IF(B66&lt;&gt;"",0.7-$J$15,IF(A66&lt;=Förderrechner!$G$8,0,""))</f>
        <v/>
      </c>
      <c r="I66" s="49" t="str">
        <f>IF(ISNUMBER(E66),MIN(E66,IF(Förderrechner!$G$10="Nein",0,IF($D$21="%",D66/100,IF($D$21="10.000stel",D66/10000,D66/1000))*$J$12)),"")</f>
        <v/>
      </c>
      <c r="J66" s="24" t="str">
        <f t="shared" si="1"/>
        <v/>
      </c>
      <c r="K66" s="32" t="str">
        <f t="shared" si="2"/>
        <v/>
      </c>
      <c r="L66" s="60" t="str">
        <f>IFERROR((Förderrechner!$C$7-$J$18)*IF(D66="","",D66)/IF($D$21="%",100,IF($D$21="10.000stel",10000,1000))-K66,"")</f>
        <v/>
      </c>
    </row>
    <row r="67" spans="1:12" ht="13.5" hidden="1" customHeight="1" outlineLevel="1" x14ac:dyDescent="0.35">
      <c r="A67" s="22">
        <v>45</v>
      </c>
      <c r="B67" s="17" t="str">
        <f>IF(Förderrechner!$G$9&gt;=A67,"x","")</f>
        <v/>
      </c>
      <c r="C67" s="17" t="str">
        <f>IF(Förderrechner!$G$23&gt;=A67,"x","")</f>
        <v/>
      </c>
      <c r="D67" s="58"/>
      <c r="E67" s="32" t="str">
        <f>IF(B67&lt;&gt;"",IF(AND(D67=0,Förderrechner!$G$10="Ja"),"&lt;--Eingabe?",$F$6/(Förderrechner!$G$8)),"")</f>
        <v/>
      </c>
      <c r="F67" s="20" t="str">
        <f>IF(AND(H67&lt;&gt;"",Förderrechner!$G$20="ja",B67&lt;&gt;""),IF(Förderrechner!$F$26="2024-2028",20%,IF(Förderrechner!$F$26="2029/30",17%,IF(Förderrechner!$F$26="2031/32",14%,IF(Förderrechner!F$26="2033/34",11%,IF(Förderrechner!F$26="2035/36",8%,0%))))),"")</f>
        <v/>
      </c>
      <c r="G67" s="48" t="str">
        <f t="shared" si="0"/>
        <v/>
      </c>
      <c r="H67" s="20" t="str">
        <f>IF(B67&lt;&gt;"",0.7-$J$15,IF(A67&lt;=Förderrechner!$G$8,0,""))</f>
        <v/>
      </c>
      <c r="I67" s="49" t="str">
        <f>IF(ISNUMBER(E67),MIN(E67,IF(Förderrechner!$G$10="Nein",0,IF($D$21="%",D67/100,IF($D$21="10.000stel",D67/10000,D67/1000))*$J$12)),"")</f>
        <v/>
      </c>
      <c r="J67" s="24" t="str">
        <f t="shared" si="1"/>
        <v/>
      </c>
      <c r="K67" s="32" t="str">
        <f t="shared" si="2"/>
        <v/>
      </c>
      <c r="L67" s="60" t="str">
        <f>IFERROR((Förderrechner!$C$7-$J$18)*IF(D67="","",D67)/IF($D$21="%",100,IF($D$21="10.000stel",10000,1000))-K67,"")</f>
        <v/>
      </c>
    </row>
    <row r="68" spans="1:12" ht="13.5" hidden="1" customHeight="1" outlineLevel="1" x14ac:dyDescent="0.35">
      <c r="A68" s="22">
        <v>46</v>
      </c>
      <c r="B68" s="17" t="str">
        <f>IF(Förderrechner!$G$9&gt;=A68,"x","")</f>
        <v/>
      </c>
      <c r="C68" s="17" t="str">
        <f>IF(Förderrechner!$G$23&gt;=A68,"x","")</f>
        <v/>
      </c>
      <c r="D68" s="58"/>
      <c r="E68" s="32" t="str">
        <f>IF(B68&lt;&gt;"",IF(AND(D68=0,Förderrechner!$G$10="Ja"),"&lt;--Eingabe?",$F$6/(Förderrechner!$G$8)),"")</f>
        <v/>
      </c>
      <c r="F68" s="20" t="str">
        <f>IF(AND(H68&lt;&gt;"",Förderrechner!$G$20="ja",B68&lt;&gt;""),IF(Förderrechner!$F$26="2024-2028",20%,IF(Förderrechner!$F$26="2029/30",17%,IF(Förderrechner!$F$26="2031/32",14%,IF(Förderrechner!F$26="2033/34",11%,IF(Förderrechner!F$26="2035/36",8%,0%))))),"")</f>
        <v/>
      </c>
      <c r="G68" s="48" t="str">
        <f t="shared" si="0"/>
        <v/>
      </c>
      <c r="H68" s="20" t="str">
        <f>IF(B68&lt;&gt;"",0.7-$J$15,IF(A68&lt;=Förderrechner!$G$8,0,""))</f>
        <v/>
      </c>
      <c r="I68" s="49" t="str">
        <f>IF(ISNUMBER(E68),MIN(E68,IF(Förderrechner!$G$10="Nein",0,IF($D$21="%",D68/100,IF($D$21="10.000stel",D68/10000,D68/1000))*$J$12)),"")</f>
        <v/>
      </c>
      <c r="J68" s="24" t="str">
        <f t="shared" si="1"/>
        <v/>
      </c>
      <c r="K68" s="32" t="str">
        <f t="shared" si="2"/>
        <v/>
      </c>
      <c r="L68" s="60" t="str">
        <f>IFERROR((Förderrechner!$C$7-$J$18)*IF(D68="","",D68)/IF($D$21="%",100,IF($D$21="10.000stel",10000,1000))-K68,"")</f>
        <v/>
      </c>
    </row>
    <row r="69" spans="1:12" ht="13.5" hidden="1" customHeight="1" outlineLevel="1" x14ac:dyDescent="0.35">
      <c r="A69" s="22">
        <v>47</v>
      </c>
      <c r="B69" s="17" t="str">
        <f>IF(Förderrechner!$G$9&gt;=A69,"x","")</f>
        <v/>
      </c>
      <c r="C69" s="17" t="str">
        <f>IF(Förderrechner!$G$23&gt;=A69,"x","")</f>
        <v/>
      </c>
      <c r="D69" s="58"/>
      <c r="E69" s="32" t="str">
        <f>IF(B69&lt;&gt;"",IF(AND(D69=0,Förderrechner!$G$10="Ja"),"&lt;--Eingabe?",$F$6/(Förderrechner!$G$8)),"")</f>
        <v/>
      </c>
      <c r="F69" s="20" t="str">
        <f>IF(AND(H69&lt;&gt;"",Förderrechner!$G$20="ja",B69&lt;&gt;""),IF(Förderrechner!$F$26="2024-2028",20%,IF(Förderrechner!$F$26="2029/30",17%,IF(Förderrechner!$F$26="2031/32",14%,IF(Förderrechner!F$26="2033/34",11%,IF(Förderrechner!F$26="2035/36",8%,0%))))),"")</f>
        <v/>
      </c>
      <c r="G69" s="48" t="str">
        <f t="shared" si="0"/>
        <v/>
      </c>
      <c r="H69" s="20" t="str">
        <f>IF(B69&lt;&gt;"",0.7-$J$15,IF(A69&lt;=Förderrechner!$G$8,0,""))</f>
        <v/>
      </c>
      <c r="I69" s="49" t="str">
        <f>IF(ISNUMBER(E69),MIN(E69,IF(Förderrechner!$G$10="Nein",0,IF($D$21="%",D69/100,IF($D$21="10.000stel",D69/10000,D69/1000))*$J$12)),"")</f>
        <v/>
      </c>
      <c r="J69" s="24" t="str">
        <f t="shared" si="1"/>
        <v/>
      </c>
      <c r="K69" s="32" t="str">
        <f t="shared" si="2"/>
        <v/>
      </c>
      <c r="L69" s="60" t="str">
        <f>IFERROR((Förderrechner!$C$7-$J$18)*IF(D69="","",D69)/IF($D$21="%",100,IF($D$21="10.000stel",10000,1000))-K69,"")</f>
        <v/>
      </c>
    </row>
    <row r="70" spans="1:12" ht="13.5" hidden="1" customHeight="1" outlineLevel="1" x14ac:dyDescent="0.35">
      <c r="A70" s="22">
        <v>48</v>
      </c>
      <c r="B70" s="17" t="str">
        <f>IF(Förderrechner!$G$9&gt;=A70,"x","")</f>
        <v/>
      </c>
      <c r="C70" s="17" t="str">
        <f>IF(Förderrechner!$G$23&gt;=A70,"x","")</f>
        <v/>
      </c>
      <c r="D70" s="58"/>
      <c r="E70" s="32" t="str">
        <f>IF(B70&lt;&gt;"",IF(AND(D70=0,Förderrechner!$G$10="Ja"),"&lt;--Eingabe?",$F$6/(Förderrechner!$G$8)),"")</f>
        <v/>
      </c>
      <c r="F70" s="20" t="str">
        <f>IF(AND(H70&lt;&gt;"",Förderrechner!$G$20="ja",B70&lt;&gt;""),IF(Förderrechner!$F$26="2024-2028",20%,IF(Förderrechner!$F$26="2029/30",17%,IF(Förderrechner!$F$26="2031/32",14%,IF(Förderrechner!F$26="2033/34",11%,IF(Förderrechner!F$26="2035/36",8%,0%))))),"")</f>
        <v/>
      </c>
      <c r="G70" s="48" t="str">
        <f t="shared" si="0"/>
        <v/>
      </c>
      <c r="H70" s="20" t="str">
        <f>IF(B70&lt;&gt;"",0.7-$J$15,IF(A70&lt;=Förderrechner!$G$8,0,""))</f>
        <v/>
      </c>
      <c r="I70" s="49" t="str">
        <f>IF(ISNUMBER(E70),MIN(E70,IF(Förderrechner!$G$10="Nein",0,IF($D$21="%",D70/100,IF($D$21="10.000stel",D70/10000,D70/1000))*$J$12)),"")</f>
        <v/>
      </c>
      <c r="J70" s="24" t="str">
        <f t="shared" si="1"/>
        <v/>
      </c>
      <c r="K70" s="32" t="str">
        <f t="shared" si="2"/>
        <v/>
      </c>
      <c r="L70" s="60" t="str">
        <f>IFERROR((Förderrechner!$C$7-$J$18)*IF(D70="","",D70)/IF($D$21="%",100,IF($D$21="10.000stel",10000,1000))-K70,"")</f>
        <v/>
      </c>
    </row>
    <row r="71" spans="1:12" ht="13.5" hidden="1" customHeight="1" outlineLevel="1" x14ac:dyDescent="0.35">
      <c r="A71" s="22">
        <v>49</v>
      </c>
      <c r="B71" s="17" t="str">
        <f>IF(Förderrechner!$G$9&gt;=A71,"x","")</f>
        <v/>
      </c>
      <c r="C71" s="17" t="str">
        <f>IF(Förderrechner!$G$23&gt;=A71,"x","")</f>
        <v/>
      </c>
      <c r="D71" s="58"/>
      <c r="E71" s="32" t="str">
        <f>IF(B71&lt;&gt;"",IF(AND(D71=0,Förderrechner!$G$10="Ja"),"&lt;--Eingabe?",$F$6/(Förderrechner!$G$8)),"")</f>
        <v/>
      </c>
      <c r="F71" s="20" t="str">
        <f>IF(AND(H71&lt;&gt;"",Förderrechner!$G$20="ja",B71&lt;&gt;""),IF(Förderrechner!$F$26="2024-2028",20%,IF(Förderrechner!$F$26="2029/30",17%,IF(Förderrechner!$F$26="2031/32",14%,IF(Förderrechner!F$26="2033/34",11%,IF(Förderrechner!F$26="2035/36",8%,0%))))),"")</f>
        <v/>
      </c>
      <c r="G71" s="48" t="str">
        <f t="shared" si="0"/>
        <v/>
      </c>
      <c r="H71" s="20" t="str">
        <f>IF(B71&lt;&gt;"",0.7-$J$15,IF(A71&lt;=Förderrechner!$G$8,0,""))</f>
        <v/>
      </c>
      <c r="I71" s="49" t="str">
        <f>IF(ISNUMBER(E71),MIN(E71,IF(Förderrechner!$G$10="Nein",0,IF($D$21="%",D71/100,IF($D$21="10.000stel",D71/10000,D71/1000))*$J$12)),"")</f>
        <v/>
      </c>
      <c r="J71" s="24" t="str">
        <f t="shared" si="1"/>
        <v/>
      </c>
      <c r="K71" s="32" t="str">
        <f t="shared" si="2"/>
        <v/>
      </c>
      <c r="L71" s="60" t="str">
        <f>IFERROR((Förderrechner!$C$7-$J$18)*IF(D71="","",D71)/IF($D$21="%",100,IF($D$21="10.000stel",10000,1000))-K71,"")</f>
        <v/>
      </c>
    </row>
    <row r="72" spans="1:12" ht="13.5" hidden="1" customHeight="1" outlineLevel="1" x14ac:dyDescent="0.35">
      <c r="A72" s="22">
        <v>50</v>
      </c>
      <c r="B72" s="17" t="str">
        <f>IF(Förderrechner!$G$9&gt;=A72,"x","")</f>
        <v/>
      </c>
      <c r="C72" s="17" t="str">
        <f>IF(Förderrechner!$G$23&gt;=A72,"x","")</f>
        <v/>
      </c>
      <c r="D72" s="58"/>
      <c r="E72" s="32" t="str">
        <f>IF(B72&lt;&gt;"",IF(AND(D72=0,Förderrechner!$G$10="Ja"),"&lt;--Eingabe?",$F$6/(Förderrechner!$G$8)),"")</f>
        <v/>
      </c>
      <c r="F72" s="20" t="str">
        <f>IF(AND(H72&lt;&gt;"",Förderrechner!$G$20="ja",B72&lt;&gt;""),IF(Förderrechner!$F$26="2024-2028",20%,IF(Förderrechner!$F$26="2029/30",17%,IF(Förderrechner!$F$26="2031/32",14%,IF(Förderrechner!F$26="2033/34",11%,IF(Förderrechner!F$26="2035/36",8%,0%))))),"")</f>
        <v/>
      </c>
      <c r="G72" s="48" t="str">
        <f t="shared" si="0"/>
        <v/>
      </c>
      <c r="H72" s="20" t="str">
        <f>IF(B72&lt;&gt;"",0.7-$J$15,IF(A72&lt;=Förderrechner!$G$8,0,""))</f>
        <v/>
      </c>
      <c r="I72" s="49" t="str">
        <f>IF(ISNUMBER(E72),MIN(E72,IF(Förderrechner!$G$10="Nein",0,IF($D$21="%",D72/100,IF($D$21="10.000stel",D72/10000,D72/1000))*$J$12)),"")</f>
        <v/>
      </c>
      <c r="J72" s="24" t="str">
        <f t="shared" si="1"/>
        <v/>
      </c>
      <c r="K72" s="32" t="str">
        <f t="shared" si="2"/>
        <v/>
      </c>
      <c r="L72" s="60" t="str">
        <f>IFERROR((Förderrechner!$C$7-$J$18)*IF(D72="","",D72)/IF($D$21="%",100,IF($D$21="10.000stel",10000,1000))-K72,"")</f>
        <v/>
      </c>
    </row>
    <row r="73" spans="1:12" ht="13.5" hidden="1" customHeight="1" outlineLevel="1" x14ac:dyDescent="0.35">
      <c r="A73" s="22">
        <v>51</v>
      </c>
      <c r="B73" s="17" t="str">
        <f>IF(Förderrechner!$G$9&gt;=A73,"x","")</f>
        <v/>
      </c>
      <c r="C73" s="17" t="str">
        <f>IF(Förderrechner!$G$23&gt;=A73,"x","")</f>
        <v/>
      </c>
      <c r="D73" s="58"/>
      <c r="E73" s="32" t="str">
        <f>IF(B73&lt;&gt;"",IF(AND(D73=0,Förderrechner!$G$10="Ja"),"&lt;--Eingabe?",$F$6/(Förderrechner!$G$8)),"")</f>
        <v/>
      </c>
      <c r="F73" s="20" t="str">
        <f>IF(AND(H73&lt;&gt;"",Förderrechner!$G$20="ja",B73&lt;&gt;""),IF(Förderrechner!$F$26="2024-2028",20%,IF(Förderrechner!$F$26="2029/30",17%,IF(Förderrechner!$F$26="2031/32",14%,IF(Förderrechner!F$26="2033/34",11%,IF(Förderrechner!F$26="2035/36",8%,0%))))),"")</f>
        <v/>
      </c>
      <c r="G73" s="48" t="str">
        <f t="shared" si="0"/>
        <v/>
      </c>
      <c r="H73" s="20" t="str">
        <f>IF(B73&lt;&gt;"",0.7-$J$15,IF(A73&lt;=Förderrechner!$G$8,0,""))</f>
        <v/>
      </c>
      <c r="I73" s="49" t="str">
        <f>IF(ISNUMBER(E73),MIN(E73,IF(Förderrechner!$G$10="Nein",0,IF($D$21="%",D73/100,IF($D$21="10.000stel",D73/10000,D73/1000))*$J$12)),"")</f>
        <v/>
      </c>
      <c r="J73" s="24" t="str">
        <f t="shared" si="1"/>
        <v/>
      </c>
      <c r="K73" s="32" t="str">
        <f t="shared" si="2"/>
        <v/>
      </c>
      <c r="L73" s="60" t="str">
        <f>IFERROR((Förderrechner!$C$7-$J$18)*IF(D73="","",D73)/IF($D$21="%",100,IF($D$21="10.000stel",10000,1000))-K73,"")</f>
        <v/>
      </c>
    </row>
    <row r="74" spans="1:12" ht="13.5" hidden="1" customHeight="1" outlineLevel="1" x14ac:dyDescent="0.35">
      <c r="A74" s="22">
        <v>52</v>
      </c>
      <c r="B74" s="17" t="str">
        <f>IF(Förderrechner!$G$9&gt;=A74,"x","")</f>
        <v/>
      </c>
      <c r="C74" s="17" t="str">
        <f>IF(Förderrechner!$G$23&gt;=A74,"x","")</f>
        <v/>
      </c>
      <c r="D74" s="58"/>
      <c r="E74" s="32" t="str">
        <f>IF(B74&lt;&gt;"",IF(AND(D74=0,Förderrechner!$G$10="Ja"),"&lt;--Eingabe?",$F$6/(Förderrechner!$G$8)),"")</f>
        <v/>
      </c>
      <c r="F74" s="20" t="str">
        <f>IF(AND(H74&lt;&gt;"",Förderrechner!$G$20="ja",B74&lt;&gt;""),IF(Förderrechner!$F$26="2024-2028",20%,IF(Förderrechner!$F$26="2029/30",17%,IF(Förderrechner!$F$26="2031/32",14%,IF(Förderrechner!F$26="2033/34",11%,IF(Förderrechner!F$26="2035/36",8%,0%))))),"")</f>
        <v/>
      </c>
      <c r="G74" s="48" t="str">
        <f t="shared" si="0"/>
        <v/>
      </c>
      <c r="H74" s="20" t="str">
        <f>IF(B74&lt;&gt;"",0.7-$J$15,IF(A74&lt;=Förderrechner!$G$8,0,""))</f>
        <v/>
      </c>
      <c r="I74" s="49" t="str">
        <f>IF(ISNUMBER(E74),MIN(E74,IF(Förderrechner!$G$10="Nein",0,IF($D$21="%",D74/100,IF($D$21="10.000stel",D74/10000,D74/1000))*$J$12)),"")</f>
        <v/>
      </c>
      <c r="J74" s="24" t="str">
        <f t="shared" si="1"/>
        <v/>
      </c>
      <c r="K74" s="32" t="str">
        <f t="shared" si="2"/>
        <v/>
      </c>
      <c r="L74" s="60" t="str">
        <f>IFERROR((Förderrechner!$C$7-$J$18)*IF(D74="","",D74)/IF($D$21="%",100,IF($D$21="10.000stel",10000,1000))-K74,"")</f>
        <v/>
      </c>
    </row>
    <row r="75" spans="1:12" ht="13.5" hidden="1" customHeight="1" outlineLevel="1" x14ac:dyDescent="0.35">
      <c r="A75" s="22">
        <v>53</v>
      </c>
      <c r="B75" s="17" t="str">
        <f>IF(Förderrechner!$G$9&gt;=A75,"x","")</f>
        <v/>
      </c>
      <c r="C75" s="17" t="str">
        <f>IF(Förderrechner!$G$23&gt;=A75,"x","")</f>
        <v/>
      </c>
      <c r="D75" s="58"/>
      <c r="E75" s="32" t="str">
        <f>IF(B75&lt;&gt;"",IF(AND(D75=0,Förderrechner!$G$10="Ja"),"&lt;--Eingabe?",$F$6/(Förderrechner!$G$8)),"")</f>
        <v/>
      </c>
      <c r="F75" s="20" t="str">
        <f>IF(AND(H75&lt;&gt;"",Förderrechner!$G$20="ja",B75&lt;&gt;""),IF(Förderrechner!$F$26="2024-2028",20%,IF(Förderrechner!$F$26="2029/30",17%,IF(Förderrechner!$F$26="2031/32",14%,IF(Förderrechner!F$26="2033/34",11%,IF(Förderrechner!F$26="2035/36",8%,0%))))),"")</f>
        <v/>
      </c>
      <c r="G75" s="48" t="str">
        <f t="shared" si="0"/>
        <v/>
      </c>
      <c r="H75" s="20" t="str">
        <f>IF(B75&lt;&gt;"",0.7-$J$15,IF(A75&lt;=Förderrechner!$G$8,0,""))</f>
        <v/>
      </c>
      <c r="I75" s="49" t="str">
        <f>IF(ISNUMBER(E75),MIN(E75,IF(Förderrechner!$G$10="Nein",0,IF($D$21="%",D75/100,IF($D$21="10.000stel",D75/10000,D75/1000))*$J$12)),"")</f>
        <v/>
      </c>
      <c r="J75" s="24" t="str">
        <f t="shared" si="1"/>
        <v/>
      </c>
      <c r="K75" s="32" t="str">
        <f t="shared" si="2"/>
        <v/>
      </c>
      <c r="L75" s="60" t="str">
        <f>IFERROR((Förderrechner!$C$7-$J$18)*IF(D75="","",D75)/IF($D$21="%",100,IF($D$21="10.000stel",10000,1000))-K75,"")</f>
        <v/>
      </c>
    </row>
    <row r="76" spans="1:12" ht="13.5" hidden="1" customHeight="1" outlineLevel="1" x14ac:dyDescent="0.35">
      <c r="A76" s="22">
        <v>54</v>
      </c>
      <c r="B76" s="17" t="str">
        <f>IF(Förderrechner!$G$9&gt;=A76,"x","")</f>
        <v/>
      </c>
      <c r="C76" s="17" t="str">
        <f>IF(Förderrechner!$G$23&gt;=A76,"x","")</f>
        <v/>
      </c>
      <c r="D76" s="58"/>
      <c r="E76" s="32" t="str">
        <f>IF(B76&lt;&gt;"",IF(AND(D76=0,Förderrechner!$G$10="Ja"),"&lt;--Eingabe?",$F$6/(Förderrechner!$G$8)),"")</f>
        <v/>
      </c>
      <c r="F76" s="20" t="str">
        <f>IF(AND(H76&lt;&gt;"",Förderrechner!$G$20="ja",B76&lt;&gt;""),IF(Förderrechner!$F$26="2024-2028",20%,IF(Förderrechner!$F$26="2029/30",17%,IF(Förderrechner!$F$26="2031/32",14%,IF(Förderrechner!F$26="2033/34",11%,IF(Förderrechner!F$26="2035/36",8%,0%))))),"")</f>
        <v/>
      </c>
      <c r="G76" s="48" t="str">
        <f t="shared" si="0"/>
        <v/>
      </c>
      <c r="H76" s="20" t="str">
        <f>IF(B76&lt;&gt;"",0.7-$J$15,IF(A76&lt;=Förderrechner!$G$8,0,""))</f>
        <v/>
      </c>
      <c r="I76" s="49" t="str">
        <f>IF(ISNUMBER(E76),MIN(E76,IF(Förderrechner!$G$10="Nein",0,IF($D$21="%",D76/100,IF($D$21="10.000stel",D76/10000,D76/1000))*$J$12)),"")</f>
        <v/>
      </c>
      <c r="J76" s="24" t="str">
        <f t="shared" si="1"/>
        <v/>
      </c>
      <c r="K76" s="32" t="str">
        <f t="shared" si="2"/>
        <v/>
      </c>
      <c r="L76" s="60" t="str">
        <f>IFERROR((Förderrechner!$C$7-$J$18)*IF(D76="","",D76)/IF($D$21="%",100,IF($D$21="10.000stel",10000,1000))-K76,"")</f>
        <v/>
      </c>
    </row>
    <row r="77" spans="1:12" ht="13.5" hidden="1" customHeight="1" outlineLevel="1" x14ac:dyDescent="0.35">
      <c r="A77" s="22">
        <v>55</v>
      </c>
      <c r="B77" s="17" t="str">
        <f>IF(Förderrechner!$G$9&gt;=A77,"x","")</f>
        <v/>
      </c>
      <c r="C77" s="17" t="str">
        <f>IF(Förderrechner!$G$23&gt;=A77,"x","")</f>
        <v/>
      </c>
      <c r="D77" s="58"/>
      <c r="E77" s="32" t="str">
        <f>IF(B77&lt;&gt;"",IF(AND(D77=0,Förderrechner!$G$10="Ja"),"&lt;--Eingabe?",$F$6/(Förderrechner!$G$8)),"")</f>
        <v/>
      </c>
      <c r="F77" s="20" t="str">
        <f>IF(AND(H77&lt;&gt;"",Förderrechner!$G$20="ja",B77&lt;&gt;""),IF(Förderrechner!$F$26="2024-2028",20%,IF(Förderrechner!$F$26="2029/30",17%,IF(Förderrechner!$F$26="2031/32",14%,IF(Förderrechner!F$26="2033/34",11%,IF(Förderrechner!F$26="2035/36",8%,0%))))),"")</f>
        <v/>
      </c>
      <c r="G77" s="48" t="str">
        <f t="shared" si="0"/>
        <v/>
      </c>
      <c r="H77" s="20" t="str">
        <f>IF(B77&lt;&gt;"",0.7-$J$15,IF(A77&lt;=Förderrechner!$G$8,0,""))</f>
        <v/>
      </c>
      <c r="I77" s="49" t="str">
        <f>IF(ISNUMBER(E77),MIN(E77,IF(Förderrechner!$G$10="Nein",0,IF($D$21="%",D77/100,IF($D$21="10.000stel",D77/10000,D77/1000))*$J$12)),"")</f>
        <v/>
      </c>
      <c r="J77" s="24" t="str">
        <f t="shared" si="1"/>
        <v/>
      </c>
      <c r="K77" s="32" t="str">
        <f t="shared" si="2"/>
        <v/>
      </c>
      <c r="L77" s="60" t="str">
        <f>IFERROR((Förderrechner!$C$7-$J$18)*IF(D77="","",D77)/IF($D$21="%",100,IF($D$21="10.000stel",10000,1000))-K77,"")</f>
        <v/>
      </c>
    </row>
    <row r="78" spans="1:12" ht="13.5" hidden="1" customHeight="1" outlineLevel="1" x14ac:dyDescent="0.35">
      <c r="A78" s="22">
        <v>56</v>
      </c>
      <c r="B78" s="17" t="str">
        <f>IF(Förderrechner!$G$9&gt;=A78,"x","")</f>
        <v/>
      </c>
      <c r="C78" s="17" t="str">
        <f>IF(Förderrechner!$G$23&gt;=A78,"x","")</f>
        <v/>
      </c>
      <c r="D78" s="58"/>
      <c r="E78" s="32" t="str">
        <f>IF(B78&lt;&gt;"",IF(AND(D78=0,Förderrechner!$G$10="Ja"),"&lt;--Eingabe?",$F$6/(Förderrechner!$G$8)),"")</f>
        <v/>
      </c>
      <c r="F78" s="20" t="str">
        <f>IF(AND(H78&lt;&gt;"",Förderrechner!$G$20="ja",B78&lt;&gt;""),IF(Förderrechner!$F$26="2024-2028",20%,IF(Förderrechner!$F$26="2029/30",17%,IF(Förderrechner!$F$26="2031/32",14%,IF(Förderrechner!F$26="2033/34",11%,IF(Förderrechner!F$26="2035/36",8%,0%))))),"")</f>
        <v/>
      </c>
      <c r="G78" s="48" t="str">
        <f t="shared" si="0"/>
        <v/>
      </c>
      <c r="H78" s="20" t="str">
        <f>IF(B78&lt;&gt;"",0.7-$J$15,IF(A78&lt;=Förderrechner!$G$8,0,""))</f>
        <v/>
      </c>
      <c r="I78" s="49" t="str">
        <f>IF(ISNUMBER(E78),MIN(E78,IF(Förderrechner!$G$10="Nein",0,IF($D$21="%",D78/100,IF($D$21="10.000stel",D78/10000,D78/1000))*$J$12)),"")</f>
        <v/>
      </c>
      <c r="J78" s="24" t="str">
        <f t="shared" si="1"/>
        <v/>
      </c>
      <c r="K78" s="32" t="str">
        <f t="shared" si="2"/>
        <v/>
      </c>
      <c r="L78" s="60" t="str">
        <f>IFERROR((Förderrechner!$C$7-$J$18)*IF(D78="","",D78)/IF($D$21="%",100,IF($D$21="10.000stel",10000,1000))-K78,"")</f>
        <v/>
      </c>
    </row>
    <row r="79" spans="1:12" ht="13.5" hidden="1" customHeight="1" outlineLevel="1" x14ac:dyDescent="0.35">
      <c r="A79" s="22">
        <v>57</v>
      </c>
      <c r="B79" s="17" t="str">
        <f>IF(Förderrechner!$G$9&gt;=A79,"x","")</f>
        <v/>
      </c>
      <c r="C79" s="17" t="str">
        <f>IF(Förderrechner!$G$23&gt;=A79,"x","")</f>
        <v/>
      </c>
      <c r="D79" s="58"/>
      <c r="E79" s="32" t="str">
        <f>IF(B79&lt;&gt;"",IF(AND(D79=0,Förderrechner!$G$10="Ja"),"&lt;--Eingabe?",$F$6/(Förderrechner!$G$8)),"")</f>
        <v/>
      </c>
      <c r="F79" s="20" t="str">
        <f>IF(AND(H79&lt;&gt;"",Förderrechner!$G$20="ja",B79&lt;&gt;""),IF(Förderrechner!$F$26="2024-2028",20%,IF(Förderrechner!$F$26="2029/30",17%,IF(Förderrechner!$F$26="2031/32",14%,IF(Förderrechner!F$26="2033/34",11%,IF(Förderrechner!F$26="2035/36",8%,0%))))),"")</f>
        <v/>
      </c>
      <c r="G79" s="48" t="str">
        <f t="shared" si="0"/>
        <v/>
      </c>
      <c r="H79" s="20" t="str">
        <f>IF(B79&lt;&gt;"",0.7-$J$15,IF(A79&lt;=Förderrechner!$G$8,0,""))</f>
        <v/>
      </c>
      <c r="I79" s="49" t="str">
        <f>IF(ISNUMBER(E79),MIN(E79,IF(Förderrechner!$G$10="Nein",0,IF($D$21="%",D79/100,IF($D$21="10.000stel",D79/10000,D79/1000))*$J$12)),"")</f>
        <v/>
      </c>
      <c r="J79" s="24" t="str">
        <f t="shared" si="1"/>
        <v/>
      </c>
      <c r="K79" s="32" t="str">
        <f t="shared" si="2"/>
        <v/>
      </c>
      <c r="L79" s="60" t="str">
        <f>IFERROR((Förderrechner!$C$7-$J$18)*IF(D79="","",D79)/IF($D$21="%",100,IF($D$21="10.000stel",10000,1000))-K79,"")</f>
        <v/>
      </c>
    </row>
    <row r="80" spans="1:12" ht="13.5" hidden="1" customHeight="1" outlineLevel="1" x14ac:dyDescent="0.35">
      <c r="A80" s="22">
        <v>58</v>
      </c>
      <c r="B80" s="17" t="str">
        <f>IF(Förderrechner!$G$9&gt;=A80,"x","")</f>
        <v/>
      </c>
      <c r="C80" s="17" t="str">
        <f>IF(Förderrechner!$G$23&gt;=A80,"x","")</f>
        <v/>
      </c>
      <c r="D80" s="58"/>
      <c r="E80" s="32" t="str">
        <f>IF(B80&lt;&gt;"",IF(AND(D80=0,Förderrechner!$G$10="Ja"),"&lt;--Eingabe?",$F$6/(Förderrechner!$G$8)),"")</f>
        <v/>
      </c>
      <c r="F80" s="20" t="str">
        <f>IF(AND(H80&lt;&gt;"",Förderrechner!$G$20="ja",B80&lt;&gt;""),IF(Förderrechner!$F$26="2024-2028",20%,IF(Förderrechner!$F$26="2029/30",17%,IF(Förderrechner!$F$26="2031/32",14%,IF(Förderrechner!F$26="2033/34",11%,IF(Förderrechner!F$26="2035/36",8%,0%))))),"")</f>
        <v/>
      </c>
      <c r="G80" s="48" t="str">
        <f t="shared" si="0"/>
        <v/>
      </c>
      <c r="H80" s="20" t="str">
        <f>IF(B80&lt;&gt;"",0.7-$J$15,IF(A80&lt;=Förderrechner!$G$8,0,""))</f>
        <v/>
      </c>
      <c r="I80" s="49" t="str">
        <f>IF(ISNUMBER(E80),MIN(E80,IF(Förderrechner!$G$10="Nein",0,IF($D$21="%",D80/100,IF($D$21="10.000stel",D80/10000,D80/1000))*$J$12)),"")</f>
        <v/>
      </c>
      <c r="J80" s="24" t="str">
        <f t="shared" si="1"/>
        <v/>
      </c>
      <c r="K80" s="32" t="str">
        <f t="shared" si="2"/>
        <v/>
      </c>
      <c r="L80" s="60" t="str">
        <f>IFERROR((Förderrechner!$C$7-$J$18)*IF(D80="","",D80)/IF($D$21="%",100,IF($D$21="10.000stel",10000,1000))-K80,"")</f>
        <v/>
      </c>
    </row>
    <row r="81" spans="1:12" ht="13.5" hidden="1" customHeight="1" outlineLevel="1" x14ac:dyDescent="0.35">
      <c r="A81" s="22">
        <v>59</v>
      </c>
      <c r="B81" s="17" t="str">
        <f>IF(Förderrechner!$G$9&gt;=A81,"x","")</f>
        <v/>
      </c>
      <c r="C81" s="17" t="str">
        <f>IF(Förderrechner!$G$23&gt;=A81,"x","")</f>
        <v/>
      </c>
      <c r="D81" s="58"/>
      <c r="E81" s="32" t="str">
        <f>IF(B81&lt;&gt;"",IF(AND(D81=0,Förderrechner!$G$10="Ja"),"&lt;--Eingabe?",$F$6/(Förderrechner!$G$8)),"")</f>
        <v/>
      </c>
      <c r="F81" s="20" t="str">
        <f>IF(AND(H81&lt;&gt;"",Förderrechner!$G$20="ja",B81&lt;&gt;""),IF(Förderrechner!$F$26="2024-2028",20%,IF(Förderrechner!$F$26="2029/30",17%,IF(Förderrechner!$F$26="2031/32",14%,IF(Förderrechner!F$26="2033/34",11%,IF(Förderrechner!F$26="2035/36",8%,0%))))),"")</f>
        <v/>
      </c>
      <c r="G81" s="48" t="str">
        <f t="shared" si="0"/>
        <v/>
      </c>
      <c r="H81" s="20" t="str">
        <f>IF(B81&lt;&gt;"",0.7-$J$15,IF(A81&lt;=Förderrechner!$G$8,0,""))</f>
        <v/>
      </c>
      <c r="I81" s="49" t="str">
        <f>IF(ISNUMBER(E81),MIN(E81,IF(Förderrechner!$G$10="Nein",0,IF($D$21="%",D81/100,IF($D$21="10.000stel",D81/10000,D81/1000))*$J$12)),"")</f>
        <v/>
      </c>
      <c r="J81" s="24" t="str">
        <f t="shared" si="1"/>
        <v/>
      </c>
      <c r="K81" s="32" t="str">
        <f t="shared" si="2"/>
        <v/>
      </c>
      <c r="L81" s="60" t="str">
        <f>IFERROR((Förderrechner!$C$7-$J$18)*IF(D81="","",D81)/IF($D$21="%",100,IF($D$21="10.000stel",10000,1000))-K81,"")</f>
        <v/>
      </c>
    </row>
    <row r="82" spans="1:12" ht="13.5" hidden="1" customHeight="1" outlineLevel="1" x14ac:dyDescent="0.35">
      <c r="A82" s="22">
        <v>60</v>
      </c>
      <c r="B82" s="17" t="str">
        <f>IF(Förderrechner!$G$9&gt;=A82,"x","")</f>
        <v/>
      </c>
      <c r="C82" s="17" t="str">
        <f>IF(Förderrechner!$G$23&gt;=A82,"x","")</f>
        <v/>
      </c>
      <c r="D82" s="58"/>
      <c r="E82" s="32" t="str">
        <f>IF(B82&lt;&gt;"",IF(AND(D82=0,Förderrechner!$G$10="Ja"),"&lt;--Eingabe?",$F$6/(Förderrechner!$G$8)),"")</f>
        <v/>
      </c>
      <c r="F82" s="20" t="str">
        <f>IF(AND(H82&lt;&gt;"",Förderrechner!$G$20="ja",B82&lt;&gt;""),IF(Förderrechner!$F$26="2024-2028",20%,IF(Förderrechner!$F$26="2029/30",17%,IF(Förderrechner!$F$26="2031/32",14%,IF(Förderrechner!F$26="2033/34",11%,IF(Förderrechner!F$26="2035/36",8%,0%))))),"")</f>
        <v/>
      </c>
      <c r="G82" s="48" t="str">
        <f t="shared" si="0"/>
        <v/>
      </c>
      <c r="H82" s="20" t="str">
        <f>IF(B82&lt;&gt;"",0.7-$J$15,IF(A82&lt;=Förderrechner!$G$8,0,""))</f>
        <v/>
      </c>
      <c r="I82" s="49" t="str">
        <f>IF(ISNUMBER(E82),MIN(E82,IF(Förderrechner!$G$10="Nein",0,IF($D$21="%",D82/100,IF($D$21="10.000stel",D82/10000,D82/1000))*$J$12)),"")</f>
        <v/>
      </c>
      <c r="J82" s="24" t="str">
        <f t="shared" si="1"/>
        <v/>
      </c>
      <c r="K82" s="32" t="str">
        <f t="shared" si="2"/>
        <v/>
      </c>
      <c r="L82" s="60" t="str">
        <f>IFERROR((Förderrechner!$C$7-$J$18)*IF(D82="","",D82)/IF($D$21="%",100,IF($D$21="10.000stel",10000,1000))-K82,"")</f>
        <v/>
      </c>
    </row>
    <row r="83" spans="1:12" ht="13.5" hidden="1" customHeight="1" outlineLevel="1" x14ac:dyDescent="0.35">
      <c r="A83" s="22">
        <v>61</v>
      </c>
      <c r="B83" s="17" t="str">
        <f>IF(Förderrechner!$G$9&gt;=A83,"x","")</f>
        <v/>
      </c>
      <c r="C83" s="17" t="str">
        <f>IF(Förderrechner!$G$23&gt;=A83,"x","")</f>
        <v/>
      </c>
      <c r="D83" s="58"/>
      <c r="E83" s="32" t="str">
        <f>IF(B83&lt;&gt;"",IF(AND(D83=0,Förderrechner!$G$10="Ja"),"&lt;--Eingabe?",$F$6/(Förderrechner!$G$8)),"")</f>
        <v/>
      </c>
      <c r="F83" s="20" t="str">
        <f>IF(AND(H83&lt;&gt;"",Förderrechner!$G$20="ja",B83&lt;&gt;""),IF(Förderrechner!$F$26="2024-2028",20%,IF(Förderrechner!$F$26="2029/30",17%,IF(Förderrechner!$F$26="2031/32",14%,IF(Förderrechner!F$26="2033/34",11%,IF(Förderrechner!F$26="2035/36",8%,0%))))),"")</f>
        <v/>
      </c>
      <c r="G83" s="48" t="str">
        <f t="shared" si="0"/>
        <v/>
      </c>
      <c r="H83" s="20" t="str">
        <f>IF(B83&lt;&gt;"",0.7-$J$15,IF(A83&lt;=Förderrechner!$G$8,0,""))</f>
        <v/>
      </c>
      <c r="I83" s="49" t="str">
        <f>IF(ISNUMBER(E83),MIN(E83,IF(Förderrechner!$G$10="Nein",0,IF($D$21="%",D83/100,IF($D$21="10.000stel",D83/10000,D83/1000))*$J$12)),"")</f>
        <v/>
      </c>
      <c r="J83" s="24" t="str">
        <f t="shared" si="1"/>
        <v/>
      </c>
      <c r="K83" s="32" t="str">
        <f t="shared" si="2"/>
        <v/>
      </c>
      <c r="L83" s="60" t="str">
        <f>IFERROR((Förderrechner!$C$7-$J$18)*IF(D83="","",D83)/IF($D$21="%",100,IF($D$21="10.000stel",10000,1000))-K83,"")</f>
        <v/>
      </c>
    </row>
    <row r="84" spans="1:12" ht="13.5" hidden="1" customHeight="1" outlineLevel="1" x14ac:dyDescent="0.35">
      <c r="A84" s="22">
        <v>62</v>
      </c>
      <c r="B84" s="17" t="str">
        <f>IF(Förderrechner!$G$9&gt;=A84,"x","")</f>
        <v/>
      </c>
      <c r="C84" s="17" t="str">
        <f>IF(Förderrechner!$G$23&gt;=A84,"x","")</f>
        <v/>
      </c>
      <c r="D84" s="58"/>
      <c r="E84" s="32" t="str">
        <f>IF(B84&lt;&gt;"",IF(AND(D84=0,Förderrechner!$G$10="Ja"),"&lt;--Eingabe?",$F$6/(Förderrechner!$G$8)),"")</f>
        <v/>
      </c>
      <c r="F84" s="20" t="str">
        <f>IF(AND(H84&lt;&gt;"",Förderrechner!$G$20="ja",B84&lt;&gt;""),IF(Förderrechner!$F$26="2024-2028",20%,IF(Förderrechner!$F$26="2029/30",17%,IF(Förderrechner!$F$26="2031/32",14%,IF(Förderrechner!F$26="2033/34",11%,IF(Förderrechner!F$26="2035/36",8%,0%))))),"")</f>
        <v/>
      </c>
      <c r="G84" s="48" t="str">
        <f t="shared" si="0"/>
        <v/>
      </c>
      <c r="H84" s="20" t="str">
        <f>IF(B84&lt;&gt;"",0.7-$J$15,IF(A84&lt;=Förderrechner!$G$8,0,""))</f>
        <v/>
      </c>
      <c r="I84" s="49" t="str">
        <f>IF(ISNUMBER(E84),MIN(E84,IF(Förderrechner!$G$10="Nein",0,IF($D$21="%",D84/100,IF($D$21="10.000stel",D84/10000,D84/1000))*$J$12)),"")</f>
        <v/>
      </c>
      <c r="J84" s="24" t="str">
        <f t="shared" si="1"/>
        <v/>
      </c>
      <c r="K84" s="32" t="str">
        <f t="shared" si="2"/>
        <v/>
      </c>
      <c r="L84" s="60" t="str">
        <f>IFERROR((Förderrechner!$C$7-$J$18)*IF(D84="","",D84)/IF($D$21="%",100,IF($D$21="10.000stel",10000,1000))-K84,"")</f>
        <v/>
      </c>
    </row>
    <row r="85" spans="1:12" ht="13.5" hidden="1" customHeight="1" outlineLevel="1" x14ac:dyDescent="0.35">
      <c r="A85" s="22">
        <v>63</v>
      </c>
      <c r="B85" s="17" t="str">
        <f>IF(Förderrechner!$G$9&gt;=A85,"x","")</f>
        <v/>
      </c>
      <c r="C85" s="17" t="str">
        <f>IF(Förderrechner!$G$23&gt;=A85,"x","")</f>
        <v/>
      </c>
      <c r="D85" s="58"/>
      <c r="E85" s="32" t="str">
        <f>IF(B85&lt;&gt;"",IF(AND(D85=0,Förderrechner!$G$10="Ja"),"&lt;--Eingabe?",$F$6/(Förderrechner!$G$8)),"")</f>
        <v/>
      </c>
      <c r="F85" s="20" t="str">
        <f>IF(AND(H85&lt;&gt;"",Förderrechner!$G$20="ja",B85&lt;&gt;""),IF(Förderrechner!$F$26="2024-2028",20%,IF(Förderrechner!$F$26="2029/30",17%,IF(Förderrechner!$F$26="2031/32",14%,IF(Förderrechner!F$26="2033/34",11%,IF(Förderrechner!F$26="2035/36",8%,0%))))),"")</f>
        <v/>
      </c>
      <c r="G85" s="48" t="str">
        <f t="shared" si="0"/>
        <v/>
      </c>
      <c r="H85" s="20" t="str">
        <f>IF(B85&lt;&gt;"",0.7-$J$15,IF(A85&lt;=Förderrechner!$G$8,0,""))</f>
        <v/>
      </c>
      <c r="I85" s="49" t="str">
        <f>IF(ISNUMBER(E85),MIN(E85,IF(Förderrechner!$G$10="Nein",0,IF($D$21="%",D85/100,IF($D$21="10.000stel",D85/10000,D85/1000))*$J$12)),"")</f>
        <v/>
      </c>
      <c r="J85" s="24" t="str">
        <f t="shared" si="1"/>
        <v/>
      </c>
      <c r="K85" s="32" t="str">
        <f t="shared" si="2"/>
        <v/>
      </c>
      <c r="L85" s="60" t="str">
        <f>IFERROR((Förderrechner!$C$7-$J$18)*IF(D85="","",D85)/IF($D$21="%",100,IF($D$21="10.000stel",10000,1000))-K85,"")</f>
        <v/>
      </c>
    </row>
    <row r="86" spans="1:12" ht="13.5" hidden="1" customHeight="1" outlineLevel="1" x14ac:dyDescent="0.35">
      <c r="A86" s="22">
        <v>64</v>
      </c>
      <c r="B86" s="17" t="str">
        <f>IF(Förderrechner!$G$9&gt;=A86,"x","")</f>
        <v/>
      </c>
      <c r="C86" s="17" t="str">
        <f>IF(Förderrechner!$G$23&gt;=A86,"x","")</f>
        <v/>
      </c>
      <c r="D86" s="58"/>
      <c r="E86" s="32" t="str">
        <f>IF(B86&lt;&gt;"",IF(AND(D86=0,Förderrechner!$G$10="Ja"),"&lt;--Eingabe?",$F$6/(Förderrechner!$G$8)),"")</f>
        <v/>
      </c>
      <c r="F86" s="20" t="str">
        <f>IF(AND(H86&lt;&gt;"",Förderrechner!$G$20="ja",B86&lt;&gt;""),IF(Förderrechner!$F$26="2024-2028",20%,IF(Förderrechner!$F$26="2029/30",17%,IF(Förderrechner!$F$26="2031/32",14%,IF(Förderrechner!F$26="2033/34",11%,IF(Förderrechner!F$26="2035/36",8%,0%))))),"")</f>
        <v/>
      </c>
      <c r="G86" s="48" t="str">
        <f t="shared" si="0"/>
        <v/>
      </c>
      <c r="H86" s="20" t="str">
        <f>IF(B86&lt;&gt;"",0.7-$J$15,IF(A86&lt;=Förderrechner!$G$8,0,""))</f>
        <v/>
      </c>
      <c r="I86" s="49" t="str">
        <f>IF(ISNUMBER(E86),MIN(E86,IF(Förderrechner!$G$10="Nein",0,IF($D$21="%",D86/100,IF($D$21="10.000stel",D86/10000,D86/1000))*$J$12)),"")</f>
        <v/>
      </c>
      <c r="J86" s="24" t="str">
        <f t="shared" si="1"/>
        <v/>
      </c>
      <c r="K86" s="32" t="str">
        <f t="shared" si="2"/>
        <v/>
      </c>
      <c r="L86" s="60" t="str">
        <f>IFERROR((Förderrechner!$C$7-$J$18)*IF(D86="","",D86)/IF($D$21="%",100,IF($D$21="10.000stel",10000,1000))-K86,"")</f>
        <v/>
      </c>
    </row>
    <row r="87" spans="1:12" ht="13.5" hidden="1" customHeight="1" outlineLevel="1" x14ac:dyDescent="0.35">
      <c r="A87" s="22">
        <v>65</v>
      </c>
      <c r="B87" s="17" t="str">
        <f>IF(Förderrechner!$G$9&gt;=A87,"x","")</f>
        <v/>
      </c>
      <c r="C87" s="17" t="str">
        <f>IF(Förderrechner!$G$23&gt;=A87,"x","")</f>
        <v/>
      </c>
      <c r="D87" s="58"/>
      <c r="E87" s="32" t="str">
        <f>IF(B87&lt;&gt;"",IF(AND(D87=0,Förderrechner!$G$10="Ja"),"&lt;--Eingabe?",$F$6/(Förderrechner!$G$8)),"")</f>
        <v/>
      </c>
      <c r="F87" s="20" t="str">
        <f>IF(AND(H87&lt;&gt;"",Förderrechner!$G$20="ja",B87&lt;&gt;""),IF(Förderrechner!$F$26="2024-2028",20%,IF(Förderrechner!$F$26="2029/30",17%,IF(Förderrechner!$F$26="2031/32",14%,IF(Förderrechner!F$26="2033/34",11%,IF(Förderrechner!F$26="2035/36",8%,0%))))),"")</f>
        <v/>
      </c>
      <c r="G87" s="48" t="str">
        <f t="shared" si="0"/>
        <v/>
      </c>
      <c r="H87" s="20" t="str">
        <f>IF(B87&lt;&gt;"",0.7-$J$15,IF(A87&lt;=Förderrechner!$G$8,0,""))</f>
        <v/>
      </c>
      <c r="I87" s="49" t="str">
        <f>IF(ISNUMBER(E87),MIN(E87,IF(Förderrechner!$G$10="Nein",0,IF($D$21="%",D87/100,IF($D$21="10.000stel",D87/10000,D87/1000))*$J$12)),"")</f>
        <v/>
      </c>
      <c r="J87" s="24" t="str">
        <f t="shared" si="1"/>
        <v/>
      </c>
      <c r="K87" s="32" t="str">
        <f t="shared" si="2"/>
        <v/>
      </c>
      <c r="L87" s="60" t="str">
        <f>IFERROR((Förderrechner!$C$7-$J$18)*IF(D87="","",D87)/IF($D$21="%",100,IF($D$21="10.000stel",10000,1000))-K87,"")</f>
        <v/>
      </c>
    </row>
    <row r="88" spans="1:12" ht="13.5" hidden="1" customHeight="1" outlineLevel="1" x14ac:dyDescent="0.35">
      <c r="A88" s="22">
        <v>66</v>
      </c>
      <c r="B88" s="17" t="str">
        <f>IF(Förderrechner!$G$9&gt;=A88,"x","")</f>
        <v/>
      </c>
      <c r="C88" s="17" t="str">
        <f>IF(Förderrechner!$G$23&gt;=A88,"x","")</f>
        <v/>
      </c>
      <c r="D88" s="58"/>
      <c r="E88" s="32" t="str">
        <f>IF(B88&lt;&gt;"",IF(AND(D88=0,Förderrechner!$G$10="Ja"),"&lt;--Eingabe?",$F$6/(Förderrechner!$G$8)),"")</f>
        <v/>
      </c>
      <c r="F88" s="20" t="str">
        <f>IF(AND(H88&lt;&gt;"",Förderrechner!$G$20="ja",B88&lt;&gt;""),IF(Förderrechner!$F$26="2024-2028",20%,IF(Förderrechner!$F$26="2029/30",17%,IF(Förderrechner!$F$26="2031/32",14%,IF(Förderrechner!F$26="2033/34",11%,IF(Förderrechner!F$26="2035/36",8%,0%))))),"")</f>
        <v/>
      </c>
      <c r="G88" s="48" t="str">
        <f t="shared" si="0"/>
        <v/>
      </c>
      <c r="H88" s="20" t="str">
        <f>IF(B88&lt;&gt;"",0.7-$J$15,IF(A88&lt;=Förderrechner!$G$8,0,""))</f>
        <v/>
      </c>
      <c r="I88" s="49" t="str">
        <f>IF(ISNUMBER(E88),MIN(E88,IF(Förderrechner!$G$10="Nein",0,IF($D$21="%",D88/100,IF($D$21="10.000stel",D88/10000,D88/1000))*$J$12)),"")</f>
        <v/>
      </c>
      <c r="J88" s="24" t="str">
        <f t="shared" si="1"/>
        <v/>
      </c>
      <c r="K88" s="32" t="str">
        <f t="shared" si="2"/>
        <v/>
      </c>
      <c r="L88" s="60" t="str">
        <f>IFERROR((Förderrechner!$C$7-$J$18)*IF(D88="","",D88)/IF($D$21="%",100,IF($D$21="10.000stel",10000,1000))-K88,"")</f>
        <v/>
      </c>
    </row>
    <row r="89" spans="1:12" ht="13.5" hidden="1" customHeight="1" outlineLevel="1" x14ac:dyDescent="0.35">
      <c r="A89" s="22">
        <v>67</v>
      </c>
      <c r="B89" s="17" t="str">
        <f>IF(Förderrechner!$G$9&gt;=A89,"x","")</f>
        <v/>
      </c>
      <c r="C89" s="17" t="str">
        <f>IF(Förderrechner!$G$23&gt;=A89,"x","")</f>
        <v/>
      </c>
      <c r="D89" s="58"/>
      <c r="E89" s="32" t="str">
        <f>IF(B89&lt;&gt;"",IF(AND(D89=0,Förderrechner!$G$10="Ja"),"&lt;--Eingabe?",$F$6/(Förderrechner!$G$8)),"")</f>
        <v/>
      </c>
      <c r="F89" s="20" t="str">
        <f>IF(AND(H89&lt;&gt;"",Förderrechner!$G$20="ja",B89&lt;&gt;""),IF(Förderrechner!$F$26="2024-2028",20%,IF(Förderrechner!$F$26="2029/30",17%,IF(Förderrechner!$F$26="2031/32",14%,IF(Förderrechner!F$26="2033/34",11%,IF(Förderrechner!F$26="2035/36",8%,0%))))),"")</f>
        <v/>
      </c>
      <c r="G89" s="48" t="str">
        <f t="shared" ref="G89:G147" si="3">IF(C89&lt;&gt;"",30%,"")</f>
        <v/>
      </c>
      <c r="H89" s="20" t="str">
        <f>IF(B89&lt;&gt;"",0.7-$J$15,IF(A89&lt;=Förderrechner!$G$8,0,""))</f>
        <v/>
      </c>
      <c r="I89" s="49" t="str">
        <f>IF(ISNUMBER(E89),MIN(E89,IF(Förderrechner!$G$10="Nein",0,IF($D$21="%",D89/100,IF($D$21="10.000stel",D89/10000,D89/1000))*$J$12)),"")</f>
        <v/>
      </c>
      <c r="J89" s="24" t="str">
        <f t="shared" ref="J89:J147" si="4">IF(H89="","",MIN(H89,SUM(F89:G89))+$J$15)</f>
        <v/>
      </c>
      <c r="K89" s="32" t="str">
        <f t="shared" ref="K89:K147" si="5">IFERROR(IF(J89&lt;&gt;"",IFERROR(I89*(J89-$J$15),0),""),"")</f>
        <v/>
      </c>
      <c r="L89" s="60" t="str">
        <f>IFERROR((Förderrechner!$C$7-$J$18)*IF(D89="","",D89)/IF($D$21="%",100,IF($D$21="10.000stel",10000,1000))-K89,"")</f>
        <v/>
      </c>
    </row>
    <row r="90" spans="1:12" ht="13.5" hidden="1" customHeight="1" outlineLevel="1" x14ac:dyDescent="0.35">
      <c r="A90" s="22">
        <v>68</v>
      </c>
      <c r="B90" s="17" t="str">
        <f>IF(Förderrechner!$G$9&gt;=A90,"x","")</f>
        <v/>
      </c>
      <c r="C90" s="17" t="str">
        <f>IF(Förderrechner!$G$23&gt;=A90,"x","")</f>
        <v/>
      </c>
      <c r="D90" s="58"/>
      <c r="E90" s="32" t="str">
        <f>IF(B90&lt;&gt;"",IF(AND(D90=0,Förderrechner!$G$10="Ja"),"&lt;--Eingabe?",$F$6/(Förderrechner!$G$8)),"")</f>
        <v/>
      </c>
      <c r="F90" s="20" t="str">
        <f>IF(AND(H90&lt;&gt;"",Förderrechner!$G$20="ja",B90&lt;&gt;""),IF(Förderrechner!$F$26="2024-2028",20%,IF(Förderrechner!$F$26="2029/30",17%,IF(Förderrechner!$F$26="2031/32",14%,IF(Förderrechner!F$26="2033/34",11%,IF(Förderrechner!F$26="2035/36",8%,0%))))),"")</f>
        <v/>
      </c>
      <c r="G90" s="48" t="str">
        <f t="shared" si="3"/>
        <v/>
      </c>
      <c r="H90" s="20" t="str">
        <f>IF(B90&lt;&gt;"",0.7-$J$15,IF(A90&lt;=Förderrechner!$G$8,0,""))</f>
        <v/>
      </c>
      <c r="I90" s="49" t="str">
        <f>IF(ISNUMBER(E90),MIN(E90,IF(Förderrechner!$G$10="Nein",0,IF($D$21="%",D90/100,IF($D$21="10.000stel",D90/10000,D90/1000))*$J$12)),"")</f>
        <v/>
      </c>
      <c r="J90" s="24" t="str">
        <f t="shared" si="4"/>
        <v/>
      </c>
      <c r="K90" s="32" t="str">
        <f t="shared" si="5"/>
        <v/>
      </c>
      <c r="L90" s="60" t="str">
        <f>IFERROR((Förderrechner!$C$7-$J$18)*IF(D90="","",D90)/IF($D$21="%",100,IF($D$21="10.000stel",10000,1000))-K90,"")</f>
        <v/>
      </c>
    </row>
    <row r="91" spans="1:12" ht="13.5" hidden="1" customHeight="1" outlineLevel="1" x14ac:dyDescent="0.35">
      <c r="A91" s="22">
        <v>69</v>
      </c>
      <c r="B91" s="17" t="str">
        <f>IF(Förderrechner!$G$9&gt;=A91,"x","")</f>
        <v/>
      </c>
      <c r="C91" s="17" t="str">
        <f>IF(Förderrechner!$G$23&gt;=A91,"x","")</f>
        <v/>
      </c>
      <c r="D91" s="58"/>
      <c r="E91" s="32" t="str">
        <f>IF(B91&lt;&gt;"",IF(AND(D91=0,Förderrechner!$G$10="Ja"),"&lt;--Eingabe?",$F$6/(Förderrechner!$G$8)),"")</f>
        <v/>
      </c>
      <c r="F91" s="20" t="str">
        <f>IF(AND(H91&lt;&gt;"",Förderrechner!$G$20="ja",B91&lt;&gt;""),IF(Förderrechner!$F$26="2024-2028",20%,IF(Förderrechner!$F$26="2029/30",17%,IF(Förderrechner!$F$26="2031/32",14%,IF(Förderrechner!F$26="2033/34",11%,IF(Förderrechner!F$26="2035/36",8%,0%))))),"")</f>
        <v/>
      </c>
      <c r="G91" s="48" t="str">
        <f t="shared" si="3"/>
        <v/>
      </c>
      <c r="H91" s="20" t="str">
        <f>IF(B91&lt;&gt;"",0.7-$J$15,IF(A91&lt;=Förderrechner!$G$8,0,""))</f>
        <v/>
      </c>
      <c r="I91" s="49" t="str">
        <f>IF(ISNUMBER(E91),MIN(E91,IF(Förderrechner!$G$10="Nein",0,IF($D$21="%",D91/100,IF($D$21="10.000stel",D91/10000,D91/1000))*$J$12)),"")</f>
        <v/>
      </c>
      <c r="J91" s="24" t="str">
        <f t="shared" si="4"/>
        <v/>
      </c>
      <c r="K91" s="32" t="str">
        <f t="shared" si="5"/>
        <v/>
      </c>
      <c r="L91" s="60" t="str">
        <f>IFERROR((Förderrechner!$C$7-$J$18)*IF(D91="","",D91)/IF($D$21="%",100,IF($D$21="10.000stel",10000,1000))-K91,"")</f>
        <v/>
      </c>
    </row>
    <row r="92" spans="1:12" ht="13.5" hidden="1" customHeight="1" outlineLevel="1" x14ac:dyDescent="0.35">
      <c r="A92" s="22">
        <v>70</v>
      </c>
      <c r="B92" s="17" t="str">
        <f>IF(Förderrechner!$G$9&gt;=A92,"x","")</f>
        <v/>
      </c>
      <c r="C92" s="17" t="str">
        <f>IF(Förderrechner!$G$23&gt;=A92,"x","")</f>
        <v/>
      </c>
      <c r="D92" s="58"/>
      <c r="E92" s="32" t="str">
        <f>IF(B92&lt;&gt;"",IF(AND(D92=0,Förderrechner!$G$10="Ja"),"&lt;--Eingabe?",$F$6/(Förderrechner!$G$8)),"")</f>
        <v/>
      </c>
      <c r="F92" s="20" t="str">
        <f>IF(AND(H92&lt;&gt;"",Förderrechner!$G$20="ja",B92&lt;&gt;""),IF(Förderrechner!$F$26="2024-2028",20%,IF(Förderrechner!$F$26="2029/30",17%,IF(Förderrechner!$F$26="2031/32",14%,IF(Förderrechner!F$26="2033/34",11%,IF(Förderrechner!F$26="2035/36",8%,0%))))),"")</f>
        <v/>
      </c>
      <c r="G92" s="48" t="str">
        <f t="shared" si="3"/>
        <v/>
      </c>
      <c r="H92" s="20" t="str">
        <f>IF(B92&lt;&gt;"",0.7-$J$15,IF(A92&lt;=Förderrechner!$G$8,0,""))</f>
        <v/>
      </c>
      <c r="I92" s="49" t="str">
        <f>IF(ISNUMBER(E92),MIN(E92,IF(Förderrechner!$G$10="Nein",0,IF($D$21="%",D92/100,IF($D$21="10.000stel",D92/10000,D92/1000))*$J$12)),"")</f>
        <v/>
      </c>
      <c r="J92" s="24" t="str">
        <f t="shared" si="4"/>
        <v/>
      </c>
      <c r="K92" s="32" t="str">
        <f t="shared" si="5"/>
        <v/>
      </c>
      <c r="L92" s="60" t="str">
        <f>IFERROR((Förderrechner!$C$7-$J$18)*IF(D92="","",D92)/IF($D$21="%",100,IF($D$21="10.000stel",10000,1000))-K92,"")</f>
        <v/>
      </c>
    </row>
    <row r="93" spans="1:12" ht="13.5" hidden="1" customHeight="1" outlineLevel="1" x14ac:dyDescent="0.35">
      <c r="A93" s="22">
        <v>71</v>
      </c>
      <c r="B93" s="17" t="str">
        <f>IF(Förderrechner!$G$9&gt;=A93,"x","")</f>
        <v/>
      </c>
      <c r="C93" s="17" t="str">
        <f>IF(Förderrechner!$G$23&gt;=A93,"x","")</f>
        <v/>
      </c>
      <c r="D93" s="58"/>
      <c r="E93" s="32" t="str">
        <f>IF(B93&lt;&gt;"",IF(AND(D93=0,Förderrechner!$G$10="Ja"),"&lt;--Eingabe?",$F$6/(Förderrechner!$G$8)),"")</f>
        <v/>
      </c>
      <c r="F93" s="20" t="str">
        <f>IF(AND(H93&lt;&gt;"",Förderrechner!$G$20="ja",B93&lt;&gt;""),IF(Förderrechner!$F$26="2024-2028",20%,IF(Förderrechner!$F$26="2029/30",17%,IF(Förderrechner!$F$26="2031/32",14%,IF(Förderrechner!F$26="2033/34",11%,IF(Förderrechner!F$26="2035/36",8%,0%))))),"")</f>
        <v/>
      </c>
      <c r="G93" s="48" t="str">
        <f t="shared" si="3"/>
        <v/>
      </c>
      <c r="H93" s="20" t="str">
        <f>IF(B93&lt;&gt;"",0.7-$J$15,IF(A93&lt;=Förderrechner!$G$8,0,""))</f>
        <v/>
      </c>
      <c r="I93" s="49" t="str">
        <f>IF(ISNUMBER(E93),MIN(E93,IF(Förderrechner!$G$10="Nein",0,IF($D$21="%",D93/100,IF($D$21="10.000stel",D93/10000,D93/1000))*$J$12)),"")</f>
        <v/>
      </c>
      <c r="J93" s="24" t="str">
        <f t="shared" si="4"/>
        <v/>
      </c>
      <c r="K93" s="32" t="str">
        <f t="shared" si="5"/>
        <v/>
      </c>
      <c r="L93" s="60" t="str">
        <f>IFERROR((Förderrechner!$C$7-$J$18)*IF(D93="","",D93)/IF($D$21="%",100,IF($D$21="10.000stel",10000,1000))-K93,"")</f>
        <v/>
      </c>
    </row>
    <row r="94" spans="1:12" ht="13.5" hidden="1" customHeight="1" outlineLevel="1" x14ac:dyDescent="0.35">
      <c r="A94" s="22">
        <v>72</v>
      </c>
      <c r="B94" s="17" t="str">
        <f>IF(Förderrechner!$G$9&gt;=A94,"x","")</f>
        <v/>
      </c>
      <c r="C94" s="17" t="str">
        <f>IF(Förderrechner!$G$23&gt;=A94,"x","")</f>
        <v/>
      </c>
      <c r="D94" s="58"/>
      <c r="E94" s="32" t="str">
        <f>IF(B94&lt;&gt;"",IF(AND(D94=0,Förderrechner!$G$10="Ja"),"&lt;--Eingabe?",$F$6/(Förderrechner!$G$8)),"")</f>
        <v/>
      </c>
      <c r="F94" s="20" t="str">
        <f>IF(AND(H94&lt;&gt;"",Förderrechner!$G$20="ja",B94&lt;&gt;""),IF(Förderrechner!$F$26="2024-2028",20%,IF(Förderrechner!$F$26="2029/30",17%,IF(Förderrechner!$F$26="2031/32",14%,IF(Förderrechner!F$26="2033/34",11%,IF(Förderrechner!F$26="2035/36",8%,0%))))),"")</f>
        <v/>
      </c>
      <c r="G94" s="48" t="str">
        <f t="shared" si="3"/>
        <v/>
      </c>
      <c r="H94" s="20" t="str">
        <f>IF(B94&lt;&gt;"",0.7-$J$15,IF(A94&lt;=Förderrechner!$G$8,0,""))</f>
        <v/>
      </c>
      <c r="I94" s="49" t="str">
        <f>IF(ISNUMBER(E94),MIN(E94,IF(Förderrechner!$G$10="Nein",0,IF($D$21="%",D94/100,IF($D$21="10.000stel",D94/10000,D94/1000))*$J$12)),"")</f>
        <v/>
      </c>
      <c r="J94" s="24" t="str">
        <f t="shared" si="4"/>
        <v/>
      </c>
      <c r="K94" s="32" t="str">
        <f t="shared" si="5"/>
        <v/>
      </c>
      <c r="L94" s="60" t="str">
        <f>IFERROR((Förderrechner!$C$7-$J$18)*IF(D94="","",D94)/IF($D$21="%",100,IF($D$21="10.000stel",10000,1000))-K94,"")</f>
        <v/>
      </c>
    </row>
    <row r="95" spans="1:12" ht="13.5" hidden="1" customHeight="1" outlineLevel="1" x14ac:dyDescent="0.35">
      <c r="A95" s="22">
        <v>73</v>
      </c>
      <c r="B95" s="17" t="str">
        <f>IF(Förderrechner!$G$9&gt;=A95,"x","")</f>
        <v/>
      </c>
      <c r="C95" s="17" t="str">
        <f>IF(Förderrechner!$G$23&gt;=A95,"x","")</f>
        <v/>
      </c>
      <c r="D95" s="58"/>
      <c r="E95" s="32" t="str">
        <f>IF(B95&lt;&gt;"",IF(AND(D95=0,Förderrechner!$G$10="Ja"),"&lt;--Eingabe?",$F$6/(Förderrechner!$G$8)),"")</f>
        <v/>
      </c>
      <c r="F95" s="20" t="str">
        <f>IF(AND(H95&lt;&gt;"",Förderrechner!$G$20="ja",B95&lt;&gt;""),IF(Förderrechner!$F$26="2024-2028",20%,IF(Förderrechner!$F$26="2029/30",17%,IF(Förderrechner!$F$26="2031/32",14%,IF(Förderrechner!F$26="2033/34",11%,IF(Förderrechner!F$26="2035/36",8%,0%))))),"")</f>
        <v/>
      </c>
      <c r="G95" s="48" t="str">
        <f t="shared" si="3"/>
        <v/>
      </c>
      <c r="H95" s="20" t="str">
        <f>IF(B95&lt;&gt;"",0.7-$J$15,IF(A95&lt;=Förderrechner!$G$8,0,""))</f>
        <v/>
      </c>
      <c r="I95" s="49" t="str">
        <f>IF(ISNUMBER(E95),MIN(E95,IF(Förderrechner!$G$10="Nein",0,IF($D$21="%",D95/100,IF($D$21="10.000stel",D95/10000,D95/1000))*$J$12)),"")</f>
        <v/>
      </c>
      <c r="J95" s="24" t="str">
        <f t="shared" si="4"/>
        <v/>
      </c>
      <c r="K95" s="32" t="str">
        <f t="shared" si="5"/>
        <v/>
      </c>
      <c r="L95" s="60" t="str">
        <f>IFERROR((Förderrechner!$C$7-$J$18)*IF(D95="","",D95)/IF($D$21="%",100,IF($D$21="10.000stel",10000,1000))-K95,"")</f>
        <v/>
      </c>
    </row>
    <row r="96" spans="1:12" ht="13.5" hidden="1" customHeight="1" outlineLevel="1" x14ac:dyDescent="0.35">
      <c r="A96" s="22">
        <v>74</v>
      </c>
      <c r="B96" s="17" t="str">
        <f>IF(Förderrechner!$G$9&gt;=A96,"x","")</f>
        <v/>
      </c>
      <c r="C96" s="17" t="str">
        <f>IF(Förderrechner!$G$23&gt;=A96,"x","")</f>
        <v/>
      </c>
      <c r="D96" s="58"/>
      <c r="E96" s="32" t="str">
        <f>IF(B96&lt;&gt;"",IF(AND(D96=0,Förderrechner!$G$10="Ja"),"&lt;--Eingabe?",$F$6/(Förderrechner!$G$8)),"")</f>
        <v/>
      </c>
      <c r="F96" s="20" t="str">
        <f>IF(AND(H96&lt;&gt;"",Förderrechner!$G$20="ja",B96&lt;&gt;""),IF(Förderrechner!$F$26="2024-2028",20%,IF(Förderrechner!$F$26="2029/30",17%,IF(Förderrechner!$F$26="2031/32",14%,IF(Förderrechner!F$26="2033/34",11%,IF(Förderrechner!F$26="2035/36",8%,0%))))),"")</f>
        <v/>
      </c>
      <c r="G96" s="48" t="str">
        <f t="shared" si="3"/>
        <v/>
      </c>
      <c r="H96" s="20" t="str">
        <f>IF(B96&lt;&gt;"",0.7-$J$15,IF(A96&lt;=Förderrechner!$G$8,0,""))</f>
        <v/>
      </c>
      <c r="I96" s="49" t="str">
        <f>IF(ISNUMBER(E96),MIN(E96,IF(Förderrechner!$G$10="Nein",0,IF($D$21="%",D96/100,IF($D$21="10.000stel",D96/10000,D96/1000))*$J$12)),"")</f>
        <v/>
      </c>
      <c r="J96" s="24" t="str">
        <f t="shared" si="4"/>
        <v/>
      </c>
      <c r="K96" s="32" t="str">
        <f t="shared" si="5"/>
        <v/>
      </c>
      <c r="L96" s="60" t="str">
        <f>IFERROR((Förderrechner!$C$7-$J$18)*IF(D96="","",D96)/IF($D$21="%",100,IF($D$21="10.000stel",10000,1000))-K96,"")</f>
        <v/>
      </c>
    </row>
    <row r="97" spans="1:12" ht="13.5" hidden="1" customHeight="1" outlineLevel="1" x14ac:dyDescent="0.35">
      <c r="A97" s="22">
        <v>75</v>
      </c>
      <c r="B97" s="17" t="str">
        <f>IF(Förderrechner!$G$9&gt;=A97,"x","")</f>
        <v/>
      </c>
      <c r="C97" s="17" t="str">
        <f>IF(Förderrechner!$G$23&gt;=A97,"x","")</f>
        <v/>
      </c>
      <c r="D97" s="58"/>
      <c r="E97" s="32" t="str">
        <f>IF(B97&lt;&gt;"",IF(AND(D97=0,Förderrechner!$G$10="Ja"),"&lt;--Eingabe?",$F$6/(Förderrechner!$G$8)),"")</f>
        <v/>
      </c>
      <c r="F97" s="20" t="str">
        <f>IF(AND(H97&lt;&gt;"",Förderrechner!$G$20="ja",B97&lt;&gt;""),IF(Förderrechner!$F$26="2024-2028",20%,IF(Förderrechner!$F$26="2029/30",17%,IF(Förderrechner!$F$26="2031/32",14%,IF(Förderrechner!F$26="2033/34",11%,IF(Förderrechner!F$26="2035/36",8%,0%))))),"")</f>
        <v/>
      </c>
      <c r="G97" s="48" t="str">
        <f t="shared" si="3"/>
        <v/>
      </c>
      <c r="H97" s="20" t="str">
        <f>IF(B97&lt;&gt;"",0.7-$J$15,IF(A97&lt;=Förderrechner!$G$8,0,""))</f>
        <v/>
      </c>
      <c r="I97" s="49" t="str">
        <f>IF(ISNUMBER(E97),MIN(E97,IF(Förderrechner!$G$10="Nein",0,IF($D$21="%",D97/100,IF($D$21="10.000stel",D97/10000,D97/1000))*$J$12)),"")</f>
        <v/>
      </c>
      <c r="J97" s="24" t="str">
        <f t="shared" si="4"/>
        <v/>
      </c>
      <c r="K97" s="32" t="str">
        <f t="shared" si="5"/>
        <v/>
      </c>
      <c r="L97" s="60" t="str">
        <f>IFERROR((Förderrechner!$C$7-$J$18)*IF(D97="","",D97)/IF($D$21="%",100,IF($D$21="10.000stel",10000,1000))-K97,"")</f>
        <v/>
      </c>
    </row>
    <row r="98" spans="1:12" ht="13.5" hidden="1" customHeight="1" outlineLevel="1" x14ac:dyDescent="0.35">
      <c r="A98" s="22">
        <v>76</v>
      </c>
      <c r="B98" s="17" t="str">
        <f>IF(Förderrechner!$G$9&gt;=A98,"x","")</f>
        <v/>
      </c>
      <c r="C98" s="17" t="str">
        <f>IF(Förderrechner!$G$23&gt;=A98,"x","")</f>
        <v/>
      </c>
      <c r="D98" s="58"/>
      <c r="E98" s="32" t="str">
        <f>IF(B98&lt;&gt;"",IF(AND(D98=0,Förderrechner!$G$10="Ja"),"&lt;--Eingabe?",$F$6/(Förderrechner!$G$8)),"")</f>
        <v/>
      </c>
      <c r="F98" s="20" t="str">
        <f>IF(AND(H98&lt;&gt;"",Förderrechner!$G$20="ja",B98&lt;&gt;""),IF(Förderrechner!$F$26="2024-2028",20%,IF(Förderrechner!$F$26="2029/30",17%,IF(Förderrechner!$F$26="2031/32",14%,IF(Förderrechner!F$26="2033/34",11%,IF(Förderrechner!F$26="2035/36",8%,0%))))),"")</f>
        <v/>
      </c>
      <c r="G98" s="48" t="str">
        <f t="shared" si="3"/>
        <v/>
      </c>
      <c r="H98" s="20" t="str">
        <f>IF(B98&lt;&gt;"",0.7-$J$15,IF(A98&lt;=Förderrechner!$G$8,0,""))</f>
        <v/>
      </c>
      <c r="I98" s="49" t="str">
        <f>IF(ISNUMBER(E98),MIN(E98,IF(Förderrechner!$G$10="Nein",0,IF($D$21="%",D98/100,IF($D$21="10.000stel",D98/10000,D98/1000))*$J$12)),"")</f>
        <v/>
      </c>
      <c r="J98" s="24" t="str">
        <f t="shared" si="4"/>
        <v/>
      </c>
      <c r="K98" s="32" t="str">
        <f t="shared" si="5"/>
        <v/>
      </c>
      <c r="L98" s="60" t="str">
        <f>IFERROR((Förderrechner!$C$7-$J$18)*IF(D98="","",D98)/IF($D$21="%",100,IF($D$21="10.000stel",10000,1000))-K98,"")</f>
        <v/>
      </c>
    </row>
    <row r="99" spans="1:12" ht="13.5" hidden="1" customHeight="1" outlineLevel="1" x14ac:dyDescent="0.35">
      <c r="A99" s="22">
        <v>77</v>
      </c>
      <c r="B99" s="17" t="str">
        <f>IF(Förderrechner!$G$9&gt;=A99,"x","")</f>
        <v/>
      </c>
      <c r="C99" s="17" t="str">
        <f>IF(Förderrechner!$G$23&gt;=A99,"x","")</f>
        <v/>
      </c>
      <c r="D99" s="58"/>
      <c r="E99" s="32" t="str">
        <f>IF(B99&lt;&gt;"",IF(AND(D99=0,Förderrechner!$G$10="Ja"),"&lt;--Eingabe?",$F$6/(Förderrechner!$G$8)),"")</f>
        <v/>
      </c>
      <c r="F99" s="20" t="str">
        <f>IF(AND(H99&lt;&gt;"",Förderrechner!$G$20="ja",B99&lt;&gt;""),IF(Förderrechner!$F$26="2024-2028",20%,IF(Förderrechner!$F$26="2029/30",17%,IF(Förderrechner!$F$26="2031/32",14%,IF(Förderrechner!F$26="2033/34",11%,IF(Förderrechner!F$26="2035/36",8%,0%))))),"")</f>
        <v/>
      </c>
      <c r="G99" s="48" t="str">
        <f t="shared" si="3"/>
        <v/>
      </c>
      <c r="H99" s="20" t="str">
        <f>IF(B99&lt;&gt;"",0.7-$J$15,IF(A99&lt;=Förderrechner!$G$8,0,""))</f>
        <v/>
      </c>
      <c r="I99" s="49" t="str">
        <f>IF(ISNUMBER(E99),MIN(E99,IF(Förderrechner!$G$10="Nein",0,IF($D$21="%",D99/100,IF($D$21="10.000stel",D99/10000,D99/1000))*$J$12)),"")</f>
        <v/>
      </c>
      <c r="J99" s="24" t="str">
        <f t="shared" si="4"/>
        <v/>
      </c>
      <c r="K99" s="32" t="str">
        <f t="shared" si="5"/>
        <v/>
      </c>
      <c r="L99" s="60" t="str">
        <f>IFERROR((Förderrechner!$C$7-$J$18)*IF(D99="","",D99)/IF($D$21="%",100,IF($D$21="10.000stel",10000,1000))-K99,"")</f>
        <v/>
      </c>
    </row>
    <row r="100" spans="1:12" ht="13.5" hidden="1" customHeight="1" outlineLevel="1" x14ac:dyDescent="0.35">
      <c r="A100" s="22">
        <v>78</v>
      </c>
      <c r="B100" s="17" t="str">
        <f>IF(Förderrechner!$G$9&gt;=A100,"x","")</f>
        <v/>
      </c>
      <c r="C100" s="17" t="str">
        <f>IF(Förderrechner!$G$23&gt;=A100,"x","")</f>
        <v/>
      </c>
      <c r="D100" s="58"/>
      <c r="E100" s="32" t="str">
        <f>IF(B100&lt;&gt;"",IF(AND(D100=0,Förderrechner!$G$10="Ja"),"&lt;--Eingabe?",$F$6/(Förderrechner!$G$8)),"")</f>
        <v/>
      </c>
      <c r="F100" s="20" t="str">
        <f>IF(AND(H100&lt;&gt;"",Förderrechner!$G$20="ja",B100&lt;&gt;""),IF(Förderrechner!$F$26="2024-2028",20%,IF(Förderrechner!$F$26="2029/30",17%,IF(Förderrechner!$F$26="2031/32",14%,IF(Förderrechner!F$26="2033/34",11%,IF(Förderrechner!F$26="2035/36",8%,0%))))),"")</f>
        <v/>
      </c>
      <c r="G100" s="48" t="str">
        <f t="shared" si="3"/>
        <v/>
      </c>
      <c r="H100" s="20" t="str">
        <f>IF(B100&lt;&gt;"",0.7-$J$15,IF(A100&lt;=Förderrechner!$G$8,0,""))</f>
        <v/>
      </c>
      <c r="I100" s="49" t="str">
        <f>IF(ISNUMBER(E100),MIN(E100,IF(Förderrechner!$G$10="Nein",0,IF($D$21="%",D100/100,IF($D$21="10.000stel",D100/10000,D100/1000))*$J$12)),"")</f>
        <v/>
      </c>
      <c r="J100" s="24" t="str">
        <f t="shared" si="4"/>
        <v/>
      </c>
      <c r="K100" s="32" t="str">
        <f t="shared" si="5"/>
        <v/>
      </c>
      <c r="L100" s="60" t="str">
        <f>IFERROR((Förderrechner!$C$7-$J$18)*IF(D100="","",D100)/IF($D$21="%",100,IF($D$21="10.000stel",10000,1000))-K100,"")</f>
        <v/>
      </c>
    </row>
    <row r="101" spans="1:12" ht="13.5" hidden="1" customHeight="1" outlineLevel="1" x14ac:dyDescent="0.35">
      <c r="A101" s="22">
        <v>79</v>
      </c>
      <c r="B101" s="17" t="str">
        <f>IF(Förderrechner!$G$9&gt;=A101,"x","")</f>
        <v/>
      </c>
      <c r="C101" s="17" t="str">
        <f>IF(Förderrechner!$G$23&gt;=A101,"x","")</f>
        <v/>
      </c>
      <c r="D101" s="58"/>
      <c r="E101" s="32" t="str">
        <f>IF(B101&lt;&gt;"",IF(AND(D101=0,Förderrechner!$G$10="Ja"),"&lt;--Eingabe?",$F$6/(Förderrechner!$G$8)),"")</f>
        <v/>
      </c>
      <c r="F101" s="20" t="str">
        <f>IF(AND(H101&lt;&gt;"",Förderrechner!$G$20="ja",B101&lt;&gt;""),IF(Förderrechner!$F$26="2024-2028",20%,IF(Förderrechner!$F$26="2029/30",17%,IF(Förderrechner!$F$26="2031/32",14%,IF(Förderrechner!F$26="2033/34",11%,IF(Förderrechner!F$26="2035/36",8%,0%))))),"")</f>
        <v/>
      </c>
      <c r="G101" s="48" t="str">
        <f t="shared" si="3"/>
        <v/>
      </c>
      <c r="H101" s="20" t="str">
        <f>IF(B101&lt;&gt;"",0.7-$J$15,IF(A101&lt;=Förderrechner!$G$8,0,""))</f>
        <v/>
      </c>
      <c r="I101" s="49" t="str">
        <f>IF(ISNUMBER(E101),MIN(E101,IF(Förderrechner!$G$10="Nein",0,IF($D$21="%",D101/100,IF($D$21="10.000stel",D101/10000,D101/1000))*$J$12)),"")</f>
        <v/>
      </c>
      <c r="J101" s="24" t="str">
        <f t="shared" si="4"/>
        <v/>
      </c>
      <c r="K101" s="32" t="str">
        <f t="shared" si="5"/>
        <v/>
      </c>
      <c r="L101" s="60" t="str">
        <f>IFERROR((Förderrechner!$C$7-$J$18)*IF(D101="","",D101)/IF($D$21="%",100,IF($D$21="10.000stel",10000,1000))-K101,"")</f>
        <v/>
      </c>
    </row>
    <row r="102" spans="1:12" ht="13.5" hidden="1" customHeight="1" outlineLevel="1" x14ac:dyDescent="0.35">
      <c r="A102" s="22">
        <v>80</v>
      </c>
      <c r="B102" s="17" t="str">
        <f>IF(Förderrechner!$G$9&gt;=A102,"x","")</f>
        <v/>
      </c>
      <c r="C102" s="17" t="str">
        <f>IF(Förderrechner!$G$23&gt;=A102,"x","")</f>
        <v/>
      </c>
      <c r="D102" s="58"/>
      <c r="E102" s="32" t="str">
        <f>IF(B102&lt;&gt;"",IF(AND(D102=0,Förderrechner!$G$10="Ja"),"&lt;--Eingabe?",$F$6/(Förderrechner!$G$8)),"")</f>
        <v/>
      </c>
      <c r="F102" s="20" t="str">
        <f>IF(AND(H102&lt;&gt;"",Förderrechner!$G$20="ja",B102&lt;&gt;""),IF(Förderrechner!$F$26="2024-2028",20%,IF(Förderrechner!$F$26="2029/30",17%,IF(Förderrechner!$F$26="2031/32",14%,IF(Förderrechner!F$26="2033/34",11%,IF(Förderrechner!F$26="2035/36",8%,0%))))),"")</f>
        <v/>
      </c>
      <c r="G102" s="48" t="str">
        <f t="shared" si="3"/>
        <v/>
      </c>
      <c r="H102" s="20" t="str">
        <f>IF(B102&lt;&gt;"",0.7-$J$15,IF(A102&lt;=Förderrechner!$G$8,0,""))</f>
        <v/>
      </c>
      <c r="I102" s="49" t="str">
        <f>IF(ISNUMBER(E102),MIN(E102,IF(Förderrechner!$G$10="Nein",0,IF($D$21="%",D102/100,IF($D$21="10.000stel",D102/10000,D102/1000))*$J$12)),"")</f>
        <v/>
      </c>
      <c r="J102" s="24" t="str">
        <f t="shared" si="4"/>
        <v/>
      </c>
      <c r="K102" s="32" t="str">
        <f t="shared" si="5"/>
        <v/>
      </c>
      <c r="L102" s="60" t="str">
        <f>IFERROR((Förderrechner!$C$7-$J$18)*IF(D102="","",D102)/IF($D$21="%",100,IF($D$21="10.000stel",10000,1000))-K102,"")</f>
        <v/>
      </c>
    </row>
    <row r="103" spans="1:12" ht="13.5" hidden="1" customHeight="1" outlineLevel="1" x14ac:dyDescent="0.35">
      <c r="A103" s="22">
        <v>81</v>
      </c>
      <c r="B103" s="17" t="str">
        <f>IF(Förderrechner!$G$9&gt;=A103,"x","")</f>
        <v/>
      </c>
      <c r="C103" s="17" t="str">
        <f>IF(Förderrechner!$G$23&gt;=A103,"x","")</f>
        <v/>
      </c>
      <c r="D103" s="58"/>
      <c r="E103" s="32" t="str">
        <f>IF(B103&lt;&gt;"",IF(AND(D103=0,Förderrechner!$G$10="Ja"),"&lt;--Eingabe?",$F$6/(Förderrechner!$G$8)),"")</f>
        <v/>
      </c>
      <c r="F103" s="20" t="str">
        <f>IF(AND(H103&lt;&gt;"",Förderrechner!$G$20="ja",B103&lt;&gt;""),IF(Förderrechner!$F$26="2024-2028",20%,IF(Förderrechner!$F$26="2029/30",17%,IF(Förderrechner!$F$26="2031/32",14%,IF(Förderrechner!F$26="2033/34",11%,IF(Förderrechner!F$26="2035/36",8%,0%))))),"")</f>
        <v/>
      </c>
      <c r="G103" s="48" t="str">
        <f t="shared" si="3"/>
        <v/>
      </c>
      <c r="H103" s="20" t="str">
        <f>IF(B103&lt;&gt;"",0.7-$J$15,IF(A103&lt;=Förderrechner!$G$8,0,""))</f>
        <v/>
      </c>
      <c r="I103" s="49" t="str">
        <f>IF(ISNUMBER(E103),MIN(E103,IF(Förderrechner!$G$10="Nein",0,IF($D$21="%",D103/100,IF($D$21="10.000stel",D103/10000,D103/1000))*$J$12)),"")</f>
        <v/>
      </c>
      <c r="J103" s="24" t="str">
        <f t="shared" si="4"/>
        <v/>
      </c>
      <c r="K103" s="32" t="str">
        <f t="shared" si="5"/>
        <v/>
      </c>
      <c r="L103" s="60" t="str">
        <f>IFERROR((Förderrechner!$C$7-$J$18)*IF(D103="","",D103)/IF($D$21="%",100,IF($D$21="10.000stel",10000,1000))-K103,"")</f>
        <v/>
      </c>
    </row>
    <row r="104" spans="1:12" ht="13.5" hidden="1" customHeight="1" outlineLevel="1" x14ac:dyDescent="0.35">
      <c r="A104" s="22">
        <v>82</v>
      </c>
      <c r="B104" s="17" t="str">
        <f>IF(Förderrechner!$G$9&gt;=A104,"x","")</f>
        <v/>
      </c>
      <c r="C104" s="17" t="str">
        <f>IF(Förderrechner!$G$23&gt;=A104,"x","")</f>
        <v/>
      </c>
      <c r="D104" s="58"/>
      <c r="E104" s="32" t="str">
        <f>IF(B104&lt;&gt;"",IF(AND(D104=0,Förderrechner!$G$10="Ja"),"&lt;--Eingabe?",$F$6/(Förderrechner!$G$8)),"")</f>
        <v/>
      </c>
      <c r="F104" s="20" t="str">
        <f>IF(AND(H104&lt;&gt;"",Förderrechner!$G$20="ja",B104&lt;&gt;""),IF(Förderrechner!$F$26="2024-2028",20%,IF(Förderrechner!$F$26="2029/30",17%,IF(Förderrechner!$F$26="2031/32",14%,IF(Förderrechner!F$26="2033/34",11%,IF(Förderrechner!F$26="2035/36",8%,0%))))),"")</f>
        <v/>
      </c>
      <c r="G104" s="48" t="str">
        <f t="shared" si="3"/>
        <v/>
      </c>
      <c r="H104" s="20" t="str">
        <f>IF(B104&lt;&gt;"",0.7-$J$15,IF(A104&lt;=Förderrechner!$G$8,0,""))</f>
        <v/>
      </c>
      <c r="I104" s="49" t="str">
        <f>IF(ISNUMBER(E104),MIN(E104,IF(Förderrechner!$G$10="Nein",0,IF($D$21="%",D104/100,IF($D$21="10.000stel",D104/10000,D104/1000))*$J$12)),"")</f>
        <v/>
      </c>
      <c r="J104" s="24" t="str">
        <f t="shared" si="4"/>
        <v/>
      </c>
      <c r="K104" s="32" t="str">
        <f t="shared" si="5"/>
        <v/>
      </c>
      <c r="L104" s="60" t="str">
        <f>IFERROR((Förderrechner!$C$7-$J$18)*IF(D104="","",D104)/IF($D$21="%",100,IF($D$21="10.000stel",10000,1000))-K104,"")</f>
        <v/>
      </c>
    </row>
    <row r="105" spans="1:12" ht="13.5" hidden="1" customHeight="1" outlineLevel="1" x14ac:dyDescent="0.35">
      <c r="A105" s="22">
        <v>83</v>
      </c>
      <c r="B105" s="17" t="str">
        <f>IF(Förderrechner!$G$9&gt;=A105,"x","")</f>
        <v/>
      </c>
      <c r="C105" s="17" t="str">
        <f>IF(Förderrechner!$G$23&gt;=A105,"x","")</f>
        <v/>
      </c>
      <c r="D105" s="58"/>
      <c r="E105" s="32" t="str">
        <f>IF(B105&lt;&gt;"",IF(AND(D105=0,Förderrechner!$G$10="Ja"),"&lt;--Eingabe?",$F$6/(Förderrechner!$G$8)),"")</f>
        <v/>
      </c>
      <c r="F105" s="20" t="str">
        <f>IF(AND(H105&lt;&gt;"",Förderrechner!$G$20="ja",B105&lt;&gt;""),IF(Förderrechner!$F$26="2024-2028",20%,IF(Förderrechner!$F$26="2029/30",17%,IF(Förderrechner!$F$26="2031/32",14%,IF(Förderrechner!F$26="2033/34",11%,IF(Förderrechner!F$26="2035/36",8%,0%))))),"")</f>
        <v/>
      </c>
      <c r="G105" s="48" t="str">
        <f t="shared" si="3"/>
        <v/>
      </c>
      <c r="H105" s="20" t="str">
        <f>IF(B105&lt;&gt;"",0.7-$J$15,IF(A105&lt;=Förderrechner!$G$8,0,""))</f>
        <v/>
      </c>
      <c r="I105" s="49" t="str">
        <f>IF(ISNUMBER(E105),MIN(E105,IF(Förderrechner!$G$10="Nein",0,IF($D$21="%",D105/100,IF($D$21="10.000stel",D105/10000,D105/1000))*$J$12)),"")</f>
        <v/>
      </c>
      <c r="J105" s="24" t="str">
        <f t="shared" si="4"/>
        <v/>
      </c>
      <c r="K105" s="32" t="str">
        <f t="shared" si="5"/>
        <v/>
      </c>
      <c r="L105" s="60" t="str">
        <f>IFERROR((Förderrechner!$C$7-$J$18)*IF(D105="","",D105)/IF($D$21="%",100,IF($D$21="10.000stel",10000,1000))-K105,"")</f>
        <v/>
      </c>
    </row>
    <row r="106" spans="1:12" ht="13.5" hidden="1" customHeight="1" outlineLevel="1" x14ac:dyDescent="0.35">
      <c r="A106" s="22">
        <v>84</v>
      </c>
      <c r="B106" s="17" t="str">
        <f>IF(Förderrechner!$G$9&gt;=A106,"x","")</f>
        <v/>
      </c>
      <c r="C106" s="17" t="str">
        <f>IF(Förderrechner!$G$23&gt;=A106,"x","")</f>
        <v/>
      </c>
      <c r="D106" s="58"/>
      <c r="E106" s="32" t="str">
        <f>IF(B106&lt;&gt;"",IF(AND(D106=0,Förderrechner!$G$10="Ja"),"&lt;--Eingabe?",$F$6/(Förderrechner!$G$8)),"")</f>
        <v/>
      </c>
      <c r="F106" s="20" t="str">
        <f>IF(AND(H106&lt;&gt;"",Förderrechner!$G$20="ja",B106&lt;&gt;""),IF(Förderrechner!$F$26="2024-2028",20%,IF(Förderrechner!$F$26="2029/30",17%,IF(Förderrechner!$F$26="2031/32",14%,IF(Förderrechner!F$26="2033/34",11%,IF(Förderrechner!F$26="2035/36",8%,0%))))),"")</f>
        <v/>
      </c>
      <c r="G106" s="48" t="str">
        <f t="shared" si="3"/>
        <v/>
      </c>
      <c r="H106" s="20" t="str">
        <f>IF(B106&lt;&gt;"",0.7-$J$15,IF(A106&lt;=Förderrechner!$G$8,0,""))</f>
        <v/>
      </c>
      <c r="I106" s="49" t="str">
        <f>IF(ISNUMBER(E106),MIN(E106,IF(Förderrechner!$G$10="Nein",0,IF($D$21="%",D106/100,IF($D$21="10.000stel",D106/10000,D106/1000))*$J$12)),"")</f>
        <v/>
      </c>
      <c r="J106" s="24" t="str">
        <f t="shared" si="4"/>
        <v/>
      </c>
      <c r="K106" s="32" t="str">
        <f t="shared" si="5"/>
        <v/>
      </c>
      <c r="L106" s="60" t="str">
        <f>IFERROR((Förderrechner!$C$7-$J$18)*IF(D106="","",D106)/IF($D$21="%",100,IF($D$21="10.000stel",10000,1000))-K106,"")</f>
        <v/>
      </c>
    </row>
    <row r="107" spans="1:12" ht="13.5" hidden="1" customHeight="1" outlineLevel="1" x14ac:dyDescent="0.35">
      <c r="A107" s="22">
        <v>85</v>
      </c>
      <c r="B107" s="17" t="str">
        <f>IF(Förderrechner!$G$9&gt;=A107,"x","")</f>
        <v/>
      </c>
      <c r="C107" s="17" t="str">
        <f>IF(Förderrechner!$G$23&gt;=A107,"x","")</f>
        <v/>
      </c>
      <c r="D107" s="58"/>
      <c r="E107" s="32" t="str">
        <f>IF(B107&lt;&gt;"",IF(AND(D107=0,Förderrechner!$G$10="Ja"),"&lt;--Eingabe?",$F$6/(Förderrechner!$G$8)),"")</f>
        <v/>
      </c>
      <c r="F107" s="20" t="str">
        <f>IF(AND(H107&lt;&gt;"",Förderrechner!$G$20="ja",B107&lt;&gt;""),IF(Förderrechner!$F$26="2024-2028",20%,IF(Förderrechner!$F$26="2029/30",17%,IF(Förderrechner!$F$26="2031/32",14%,IF(Förderrechner!F$26="2033/34",11%,IF(Förderrechner!F$26="2035/36",8%,0%))))),"")</f>
        <v/>
      </c>
      <c r="G107" s="48" t="str">
        <f t="shared" si="3"/>
        <v/>
      </c>
      <c r="H107" s="20" t="str">
        <f>IF(B107&lt;&gt;"",0.7-$J$15,IF(A107&lt;=Förderrechner!$G$8,0,""))</f>
        <v/>
      </c>
      <c r="I107" s="49" t="str">
        <f>IF(ISNUMBER(E107),MIN(E107,IF(Förderrechner!$G$10="Nein",0,IF($D$21="%",D107/100,IF($D$21="10.000stel",D107/10000,D107/1000))*$J$12)),"")</f>
        <v/>
      </c>
      <c r="J107" s="24" t="str">
        <f t="shared" si="4"/>
        <v/>
      </c>
      <c r="K107" s="32" t="str">
        <f t="shared" si="5"/>
        <v/>
      </c>
      <c r="L107" s="60" t="str">
        <f>IFERROR((Förderrechner!$C$7-$J$18)*IF(D107="","",D107)/IF($D$21="%",100,IF($D$21="10.000stel",10000,1000))-K107,"")</f>
        <v/>
      </c>
    </row>
    <row r="108" spans="1:12" ht="13.5" hidden="1" customHeight="1" outlineLevel="1" x14ac:dyDescent="0.35">
      <c r="A108" s="22">
        <v>86</v>
      </c>
      <c r="B108" s="17" t="str">
        <f>IF(Förderrechner!$G$9&gt;=A108,"x","")</f>
        <v/>
      </c>
      <c r="C108" s="17" t="str">
        <f>IF(Förderrechner!$G$23&gt;=A108,"x","")</f>
        <v/>
      </c>
      <c r="D108" s="58"/>
      <c r="E108" s="32" t="str">
        <f>IF(B108&lt;&gt;"",IF(AND(D108=0,Förderrechner!$G$10="Ja"),"&lt;--Eingabe?",$F$6/(Förderrechner!$G$8)),"")</f>
        <v/>
      </c>
      <c r="F108" s="20" t="str">
        <f>IF(AND(H108&lt;&gt;"",Förderrechner!$G$20="ja",B108&lt;&gt;""),IF(Förderrechner!$F$26="2024-2028",20%,IF(Förderrechner!$F$26="2029/30",17%,IF(Förderrechner!$F$26="2031/32",14%,IF(Förderrechner!F$26="2033/34",11%,IF(Förderrechner!F$26="2035/36",8%,0%))))),"")</f>
        <v/>
      </c>
      <c r="G108" s="48" t="str">
        <f t="shared" si="3"/>
        <v/>
      </c>
      <c r="H108" s="20" t="str">
        <f>IF(B108&lt;&gt;"",0.7-$J$15,IF(A108&lt;=Förderrechner!$G$8,0,""))</f>
        <v/>
      </c>
      <c r="I108" s="49" t="str">
        <f>IF(ISNUMBER(E108),MIN(E108,IF(Förderrechner!$G$10="Nein",0,IF($D$21="%",D108/100,IF($D$21="10.000stel",D108/10000,D108/1000))*$J$12)),"")</f>
        <v/>
      </c>
      <c r="J108" s="24" t="str">
        <f t="shared" si="4"/>
        <v/>
      </c>
      <c r="K108" s="32" t="str">
        <f t="shared" si="5"/>
        <v/>
      </c>
      <c r="L108" s="60" t="str">
        <f>IFERROR((Förderrechner!$C$7-$J$18)*IF(D108="","",D108)/IF($D$21="%",100,IF($D$21="10.000stel",10000,1000))-K108,"")</f>
        <v/>
      </c>
    </row>
    <row r="109" spans="1:12" ht="13.5" hidden="1" customHeight="1" outlineLevel="1" x14ac:dyDescent="0.35">
      <c r="A109" s="22">
        <v>87</v>
      </c>
      <c r="B109" s="17" t="str">
        <f>IF(Förderrechner!$G$9&gt;=A109,"x","")</f>
        <v/>
      </c>
      <c r="C109" s="17" t="str">
        <f>IF(Förderrechner!$G$23&gt;=A109,"x","")</f>
        <v/>
      </c>
      <c r="D109" s="58"/>
      <c r="E109" s="32" t="str">
        <f>IF(B109&lt;&gt;"",IF(AND(D109=0,Förderrechner!$G$10="Ja"),"&lt;--Eingabe?",$F$6/(Förderrechner!$G$8)),"")</f>
        <v/>
      </c>
      <c r="F109" s="20" t="str">
        <f>IF(AND(H109&lt;&gt;"",Förderrechner!$G$20="ja",B109&lt;&gt;""),IF(Förderrechner!$F$26="2024-2028",20%,IF(Förderrechner!$F$26="2029/30",17%,IF(Förderrechner!$F$26="2031/32",14%,IF(Förderrechner!F$26="2033/34",11%,IF(Förderrechner!F$26="2035/36",8%,0%))))),"")</f>
        <v/>
      </c>
      <c r="G109" s="48" t="str">
        <f t="shared" si="3"/>
        <v/>
      </c>
      <c r="H109" s="20" t="str">
        <f>IF(B109&lt;&gt;"",0.7-$J$15,IF(A109&lt;=Förderrechner!$G$8,0,""))</f>
        <v/>
      </c>
      <c r="I109" s="49" t="str">
        <f>IF(ISNUMBER(E109),MIN(E109,IF(Förderrechner!$G$10="Nein",0,IF($D$21="%",D109/100,IF($D$21="10.000stel",D109/10000,D109/1000))*$J$12)),"")</f>
        <v/>
      </c>
      <c r="J109" s="24" t="str">
        <f t="shared" si="4"/>
        <v/>
      </c>
      <c r="K109" s="32" t="str">
        <f t="shared" si="5"/>
        <v/>
      </c>
      <c r="L109" s="60" t="str">
        <f>IFERROR((Förderrechner!$C$7-$J$18)*IF(D109="","",D109)/IF($D$21="%",100,IF($D$21="10.000stel",10000,1000))-K109,"")</f>
        <v/>
      </c>
    </row>
    <row r="110" spans="1:12" ht="13.5" hidden="1" customHeight="1" outlineLevel="1" x14ac:dyDescent="0.35">
      <c r="A110" s="22">
        <v>88</v>
      </c>
      <c r="B110" s="17" t="str">
        <f>IF(Förderrechner!$G$9&gt;=A110,"x","")</f>
        <v/>
      </c>
      <c r="C110" s="17" t="str">
        <f>IF(Förderrechner!$G$23&gt;=A110,"x","")</f>
        <v/>
      </c>
      <c r="D110" s="58"/>
      <c r="E110" s="32" t="str">
        <f>IF(B110&lt;&gt;"",IF(AND(D110=0,Förderrechner!$G$10="Ja"),"&lt;--Eingabe?",$F$6/(Förderrechner!$G$8)),"")</f>
        <v/>
      </c>
      <c r="F110" s="20" t="str">
        <f>IF(AND(H110&lt;&gt;"",Förderrechner!$G$20="ja",B110&lt;&gt;""),IF(Förderrechner!$F$26="2024-2028",20%,IF(Förderrechner!$F$26="2029/30",17%,IF(Förderrechner!$F$26="2031/32",14%,IF(Förderrechner!F$26="2033/34",11%,IF(Förderrechner!F$26="2035/36",8%,0%))))),"")</f>
        <v/>
      </c>
      <c r="G110" s="48" t="str">
        <f t="shared" si="3"/>
        <v/>
      </c>
      <c r="H110" s="20" t="str">
        <f>IF(B110&lt;&gt;"",0.7-$J$15,IF(A110&lt;=Förderrechner!$G$8,0,""))</f>
        <v/>
      </c>
      <c r="I110" s="49" t="str">
        <f>IF(ISNUMBER(E110),MIN(E110,IF(Förderrechner!$G$10="Nein",0,IF($D$21="%",D110/100,IF($D$21="10.000stel",D110/10000,D110/1000))*$J$12)),"")</f>
        <v/>
      </c>
      <c r="J110" s="24" t="str">
        <f t="shared" si="4"/>
        <v/>
      </c>
      <c r="K110" s="32" t="str">
        <f t="shared" si="5"/>
        <v/>
      </c>
      <c r="L110" s="60" t="str">
        <f>IFERROR((Förderrechner!$C$7-$J$18)*IF(D110="","",D110)/IF($D$21="%",100,IF($D$21="10.000stel",10000,1000))-K110,"")</f>
        <v/>
      </c>
    </row>
    <row r="111" spans="1:12" ht="13.5" hidden="1" customHeight="1" outlineLevel="1" x14ac:dyDescent="0.35">
      <c r="A111" s="22">
        <v>89</v>
      </c>
      <c r="B111" s="17" t="str">
        <f>IF(Förderrechner!$G$9&gt;=A111,"x","")</f>
        <v/>
      </c>
      <c r="C111" s="17" t="str">
        <f>IF(Förderrechner!$G$23&gt;=A111,"x","")</f>
        <v/>
      </c>
      <c r="D111" s="58"/>
      <c r="E111" s="32" t="str">
        <f>IF(B111&lt;&gt;"",IF(AND(D111=0,Förderrechner!$G$10="Ja"),"&lt;--Eingabe?",$F$6/(Förderrechner!$G$8)),"")</f>
        <v/>
      </c>
      <c r="F111" s="20" t="str">
        <f>IF(AND(H111&lt;&gt;"",Förderrechner!$G$20="ja",B111&lt;&gt;""),IF(Förderrechner!$F$26="2024-2028",20%,IF(Förderrechner!$F$26="2029/30",17%,IF(Förderrechner!$F$26="2031/32",14%,IF(Förderrechner!F$26="2033/34",11%,IF(Förderrechner!F$26="2035/36",8%,0%))))),"")</f>
        <v/>
      </c>
      <c r="G111" s="48" t="str">
        <f t="shared" si="3"/>
        <v/>
      </c>
      <c r="H111" s="20" t="str">
        <f>IF(B111&lt;&gt;"",0.7-$J$15,IF(A111&lt;=Förderrechner!$G$8,0,""))</f>
        <v/>
      </c>
      <c r="I111" s="49" t="str">
        <f>IF(ISNUMBER(E111),MIN(E111,IF(Förderrechner!$G$10="Nein",0,IF($D$21="%",D111/100,IF($D$21="10.000stel",D111/10000,D111/1000))*$J$12)),"")</f>
        <v/>
      </c>
      <c r="J111" s="24" t="str">
        <f t="shared" si="4"/>
        <v/>
      </c>
      <c r="K111" s="32" t="str">
        <f t="shared" si="5"/>
        <v/>
      </c>
      <c r="L111" s="60" t="str">
        <f>IFERROR((Förderrechner!$C$7-$J$18)*IF(D111="","",D111)/IF($D$21="%",100,IF($D$21="10.000stel",10000,1000))-K111,"")</f>
        <v/>
      </c>
    </row>
    <row r="112" spans="1:12" ht="13.5" hidden="1" customHeight="1" outlineLevel="1" x14ac:dyDescent="0.35">
      <c r="A112" s="22">
        <v>90</v>
      </c>
      <c r="B112" s="17" t="str">
        <f>IF(Förderrechner!$G$9&gt;=A112,"x","")</f>
        <v/>
      </c>
      <c r="C112" s="17" t="str">
        <f>IF(Förderrechner!$G$23&gt;=A112,"x","")</f>
        <v/>
      </c>
      <c r="D112" s="58"/>
      <c r="E112" s="32" t="str">
        <f>IF(B112&lt;&gt;"",IF(AND(D112=0,Förderrechner!$G$10="Ja"),"&lt;--Eingabe?",$F$6/(Förderrechner!$G$8)),"")</f>
        <v/>
      </c>
      <c r="F112" s="20" t="str">
        <f>IF(AND(H112&lt;&gt;"",Förderrechner!$G$20="ja",B112&lt;&gt;""),IF(Förderrechner!$F$26="2024-2028",20%,IF(Förderrechner!$F$26="2029/30",17%,IF(Förderrechner!$F$26="2031/32",14%,IF(Förderrechner!F$26="2033/34",11%,IF(Förderrechner!F$26="2035/36",8%,0%))))),"")</f>
        <v/>
      </c>
      <c r="G112" s="48" t="str">
        <f t="shared" si="3"/>
        <v/>
      </c>
      <c r="H112" s="20" t="str">
        <f>IF(B112&lt;&gt;"",0.7-$J$15,IF(A112&lt;=Förderrechner!$G$8,0,""))</f>
        <v/>
      </c>
      <c r="I112" s="49" t="str">
        <f>IF(ISNUMBER(E112),MIN(E112,IF(Förderrechner!$G$10="Nein",0,IF($D$21="%",D112/100,IF($D$21="10.000stel",D112/10000,D112/1000))*$J$12)),"")</f>
        <v/>
      </c>
      <c r="J112" s="24" t="str">
        <f t="shared" si="4"/>
        <v/>
      </c>
      <c r="K112" s="32" t="str">
        <f t="shared" si="5"/>
        <v/>
      </c>
      <c r="L112" s="60" t="str">
        <f>IFERROR((Förderrechner!$C$7-$J$18)*IF(D112="","",D112)/IF($D$21="%",100,IF($D$21="10.000stel",10000,1000))-K112,"")</f>
        <v/>
      </c>
    </row>
    <row r="113" spans="1:12" ht="13.5" hidden="1" customHeight="1" outlineLevel="1" x14ac:dyDescent="0.35">
      <c r="A113" s="22">
        <v>91</v>
      </c>
      <c r="B113" s="17" t="str">
        <f>IF(Förderrechner!$G$9&gt;=A113,"x","")</f>
        <v/>
      </c>
      <c r="C113" s="17" t="str">
        <f>IF(Förderrechner!$G$23&gt;=A113,"x","")</f>
        <v/>
      </c>
      <c r="D113" s="58"/>
      <c r="E113" s="32" t="str">
        <f>IF(B113&lt;&gt;"",IF(AND(D113=0,Förderrechner!$G$10="Ja"),"&lt;--Eingabe?",$F$6/(Förderrechner!$G$8)),"")</f>
        <v/>
      </c>
      <c r="F113" s="20" t="str">
        <f>IF(AND(H113&lt;&gt;"",Förderrechner!$G$20="ja",B113&lt;&gt;""),IF(Förderrechner!$F$26="2024-2028",20%,IF(Förderrechner!$F$26="2029/30",17%,IF(Förderrechner!$F$26="2031/32",14%,IF(Förderrechner!F$26="2033/34",11%,IF(Förderrechner!F$26="2035/36",8%,0%))))),"")</f>
        <v/>
      </c>
      <c r="G113" s="48" t="str">
        <f t="shared" si="3"/>
        <v/>
      </c>
      <c r="H113" s="20" t="str">
        <f>IF(B113&lt;&gt;"",0.7-$J$15,IF(A113&lt;=Förderrechner!$G$8,0,""))</f>
        <v/>
      </c>
      <c r="I113" s="49" t="str">
        <f>IF(ISNUMBER(E113),MIN(E113,IF(Förderrechner!$G$10="Nein",0,IF($D$21="%",D113/100,IF($D$21="10.000stel",D113/10000,D113/1000))*$J$12)),"")</f>
        <v/>
      </c>
      <c r="J113" s="24" t="str">
        <f t="shared" si="4"/>
        <v/>
      </c>
      <c r="K113" s="32" t="str">
        <f t="shared" si="5"/>
        <v/>
      </c>
      <c r="L113" s="60" t="str">
        <f>IFERROR((Förderrechner!$C$7-$J$18)*IF(D113="","",D113)/IF($D$21="%",100,IF($D$21="10.000stel",10000,1000))-K113,"")</f>
        <v/>
      </c>
    </row>
    <row r="114" spans="1:12" ht="13.5" hidden="1" customHeight="1" outlineLevel="1" x14ac:dyDescent="0.35">
      <c r="A114" s="22">
        <v>92</v>
      </c>
      <c r="B114" s="17" t="str">
        <f>IF(Förderrechner!$G$9&gt;=A114,"x","")</f>
        <v/>
      </c>
      <c r="C114" s="17" t="str">
        <f>IF(Förderrechner!$G$23&gt;=A114,"x","")</f>
        <v/>
      </c>
      <c r="D114" s="58"/>
      <c r="E114" s="32" t="str">
        <f>IF(B114&lt;&gt;"",IF(AND(D114=0,Förderrechner!$G$10="Ja"),"&lt;--Eingabe?",$F$6/(Förderrechner!$G$8)),"")</f>
        <v/>
      </c>
      <c r="F114" s="20" t="str">
        <f>IF(AND(H114&lt;&gt;"",Förderrechner!$G$20="ja",B114&lt;&gt;""),IF(Förderrechner!$F$26="2024-2028",20%,IF(Förderrechner!$F$26="2029/30",17%,IF(Förderrechner!$F$26="2031/32",14%,IF(Förderrechner!F$26="2033/34",11%,IF(Förderrechner!F$26="2035/36",8%,0%))))),"")</f>
        <v/>
      </c>
      <c r="G114" s="48" t="str">
        <f t="shared" si="3"/>
        <v/>
      </c>
      <c r="H114" s="20" t="str">
        <f>IF(B114&lt;&gt;"",0.7-$J$15,IF(A114&lt;=Förderrechner!$G$8,0,""))</f>
        <v/>
      </c>
      <c r="I114" s="49" t="str">
        <f>IF(ISNUMBER(E114),MIN(E114,IF(Förderrechner!$G$10="Nein",0,IF($D$21="%",D114/100,IF($D$21="10.000stel",D114/10000,D114/1000))*$J$12)),"")</f>
        <v/>
      </c>
      <c r="J114" s="24" t="str">
        <f t="shared" si="4"/>
        <v/>
      </c>
      <c r="K114" s="32" t="str">
        <f t="shared" si="5"/>
        <v/>
      </c>
      <c r="L114" s="60" t="str">
        <f>IFERROR((Förderrechner!$C$7-$J$18)*IF(D114="","",D114)/IF($D$21="%",100,IF($D$21="10.000stel",10000,1000))-K114,"")</f>
        <v/>
      </c>
    </row>
    <row r="115" spans="1:12" ht="13.5" hidden="1" customHeight="1" outlineLevel="1" x14ac:dyDescent="0.35">
      <c r="A115" s="22">
        <v>93</v>
      </c>
      <c r="B115" s="17" t="str">
        <f>IF(Förderrechner!$G$9&gt;=A115,"x","")</f>
        <v/>
      </c>
      <c r="C115" s="17" t="str">
        <f>IF(Förderrechner!$G$23&gt;=A115,"x","")</f>
        <v/>
      </c>
      <c r="D115" s="58"/>
      <c r="E115" s="32" t="str">
        <f>IF(B115&lt;&gt;"",IF(AND(D115=0,Förderrechner!$G$10="Ja"),"&lt;--Eingabe?",$F$6/(Förderrechner!$G$8)),"")</f>
        <v/>
      </c>
      <c r="F115" s="20" t="str">
        <f>IF(AND(H115&lt;&gt;"",Förderrechner!$G$20="ja",B115&lt;&gt;""),IF(Förderrechner!$F$26="2024-2028",20%,IF(Förderrechner!$F$26="2029/30",17%,IF(Förderrechner!$F$26="2031/32",14%,IF(Förderrechner!F$26="2033/34",11%,IF(Förderrechner!F$26="2035/36",8%,0%))))),"")</f>
        <v/>
      </c>
      <c r="G115" s="48" t="str">
        <f t="shared" si="3"/>
        <v/>
      </c>
      <c r="H115" s="20" t="str">
        <f>IF(B115&lt;&gt;"",0.7-$J$15,IF(A115&lt;=Förderrechner!$G$8,0,""))</f>
        <v/>
      </c>
      <c r="I115" s="49" t="str">
        <f>IF(ISNUMBER(E115),MIN(E115,IF(Förderrechner!$G$10="Nein",0,IF($D$21="%",D115/100,IF($D$21="10.000stel",D115/10000,D115/1000))*$J$12)),"")</f>
        <v/>
      </c>
      <c r="J115" s="24" t="str">
        <f t="shared" si="4"/>
        <v/>
      </c>
      <c r="K115" s="32" t="str">
        <f t="shared" si="5"/>
        <v/>
      </c>
      <c r="L115" s="60" t="str">
        <f>IFERROR((Förderrechner!$C$7-$J$18)*IF(D115="","",D115)/IF($D$21="%",100,IF($D$21="10.000stel",10000,1000))-K115,"")</f>
        <v/>
      </c>
    </row>
    <row r="116" spans="1:12" ht="13.5" hidden="1" customHeight="1" outlineLevel="1" x14ac:dyDescent="0.35">
      <c r="A116" s="22">
        <v>94</v>
      </c>
      <c r="B116" s="17" t="str">
        <f>IF(Förderrechner!$G$9&gt;=A116,"x","")</f>
        <v/>
      </c>
      <c r="C116" s="17" t="str">
        <f>IF(Förderrechner!$G$23&gt;=A116,"x","")</f>
        <v/>
      </c>
      <c r="D116" s="58"/>
      <c r="E116" s="32" t="str">
        <f>IF(B116&lt;&gt;"",IF(AND(D116=0,Förderrechner!$G$10="Ja"),"&lt;--Eingabe?",$F$6/(Förderrechner!$G$8)),"")</f>
        <v/>
      </c>
      <c r="F116" s="20" t="str">
        <f>IF(AND(H116&lt;&gt;"",Förderrechner!$G$20="ja",B116&lt;&gt;""),IF(Förderrechner!$F$26="2024-2028",20%,IF(Förderrechner!$F$26="2029/30",17%,IF(Förderrechner!$F$26="2031/32",14%,IF(Förderrechner!F$26="2033/34",11%,IF(Förderrechner!F$26="2035/36",8%,0%))))),"")</f>
        <v/>
      </c>
      <c r="G116" s="48" t="str">
        <f t="shared" si="3"/>
        <v/>
      </c>
      <c r="H116" s="20" t="str">
        <f>IF(B116&lt;&gt;"",0.7-$J$15,IF(A116&lt;=Förderrechner!$G$8,0,""))</f>
        <v/>
      </c>
      <c r="I116" s="49" t="str">
        <f>IF(ISNUMBER(E116),MIN(E116,IF(Förderrechner!$G$10="Nein",0,IF($D$21="%",D116/100,IF($D$21="10.000stel",D116/10000,D116/1000))*$J$12)),"")</f>
        <v/>
      </c>
      <c r="J116" s="24" t="str">
        <f t="shared" si="4"/>
        <v/>
      </c>
      <c r="K116" s="32" t="str">
        <f t="shared" si="5"/>
        <v/>
      </c>
      <c r="L116" s="60" t="str">
        <f>IFERROR((Förderrechner!$C$7-$J$18)*IF(D116="","",D116)/IF($D$21="%",100,IF($D$21="10.000stel",10000,1000))-K116,"")</f>
        <v/>
      </c>
    </row>
    <row r="117" spans="1:12" ht="13.5" hidden="1" customHeight="1" outlineLevel="1" x14ac:dyDescent="0.35">
      <c r="A117" s="22">
        <v>95</v>
      </c>
      <c r="B117" s="17" t="str">
        <f>IF(Förderrechner!$G$9&gt;=A117,"x","")</f>
        <v/>
      </c>
      <c r="C117" s="17" t="str">
        <f>IF(Förderrechner!$G$23&gt;=A117,"x","")</f>
        <v/>
      </c>
      <c r="D117" s="58"/>
      <c r="E117" s="32" t="str">
        <f>IF(B117&lt;&gt;"",IF(AND(D117=0,Förderrechner!$G$10="Ja"),"&lt;--Eingabe?",$F$6/(Förderrechner!$G$8)),"")</f>
        <v/>
      </c>
      <c r="F117" s="20" t="str">
        <f>IF(AND(H117&lt;&gt;"",Förderrechner!$G$20="ja",B117&lt;&gt;""),IF(Förderrechner!$F$26="2024-2028",20%,IF(Förderrechner!$F$26="2029/30",17%,IF(Förderrechner!$F$26="2031/32",14%,IF(Förderrechner!F$26="2033/34",11%,IF(Förderrechner!F$26="2035/36",8%,0%))))),"")</f>
        <v/>
      </c>
      <c r="G117" s="48" t="str">
        <f t="shared" si="3"/>
        <v/>
      </c>
      <c r="H117" s="20" t="str">
        <f>IF(B117&lt;&gt;"",0.7-$J$15,IF(A117&lt;=Förderrechner!$G$8,0,""))</f>
        <v/>
      </c>
      <c r="I117" s="49" t="str">
        <f>IF(ISNUMBER(E117),MIN(E117,IF(Förderrechner!$G$10="Nein",0,IF($D$21="%",D117/100,IF($D$21="10.000stel",D117/10000,D117/1000))*$J$12)),"")</f>
        <v/>
      </c>
      <c r="J117" s="24" t="str">
        <f t="shared" si="4"/>
        <v/>
      </c>
      <c r="K117" s="32" t="str">
        <f t="shared" si="5"/>
        <v/>
      </c>
      <c r="L117" s="60" t="str">
        <f>IFERROR((Förderrechner!$C$7-$J$18)*IF(D117="","",D117)/IF($D$21="%",100,IF($D$21="10.000stel",10000,1000))-K117,"")</f>
        <v/>
      </c>
    </row>
    <row r="118" spans="1:12" ht="13.5" hidden="1" customHeight="1" outlineLevel="1" x14ac:dyDescent="0.35">
      <c r="A118" s="22">
        <v>96</v>
      </c>
      <c r="B118" s="17" t="str">
        <f>IF(Förderrechner!$G$9&gt;=A118,"x","")</f>
        <v/>
      </c>
      <c r="C118" s="17" t="str">
        <f>IF(Förderrechner!$G$23&gt;=A118,"x","")</f>
        <v/>
      </c>
      <c r="D118" s="58"/>
      <c r="E118" s="32" t="str">
        <f>IF(B118&lt;&gt;"",IF(AND(D118=0,Förderrechner!$G$10="Ja"),"&lt;--Eingabe?",$F$6/(Förderrechner!$G$8)),"")</f>
        <v/>
      </c>
      <c r="F118" s="20" t="str">
        <f>IF(AND(H118&lt;&gt;"",Förderrechner!$G$20="ja",B118&lt;&gt;""),IF(Förderrechner!$F$26="2024-2028",20%,IF(Förderrechner!$F$26="2029/30",17%,IF(Förderrechner!$F$26="2031/32",14%,IF(Förderrechner!F$26="2033/34",11%,IF(Förderrechner!F$26="2035/36",8%,0%))))),"")</f>
        <v/>
      </c>
      <c r="G118" s="48" t="str">
        <f t="shared" si="3"/>
        <v/>
      </c>
      <c r="H118" s="20" t="str">
        <f>IF(B118&lt;&gt;"",0.7-$J$15,IF(A118&lt;=Förderrechner!$G$8,0,""))</f>
        <v/>
      </c>
      <c r="I118" s="49" t="str">
        <f>IF(ISNUMBER(E118),MIN(E118,IF(Förderrechner!$G$10="Nein",0,IF($D$21="%",D118/100,IF($D$21="10.000stel",D118/10000,D118/1000))*$J$12)),"")</f>
        <v/>
      </c>
      <c r="J118" s="24" t="str">
        <f t="shared" si="4"/>
        <v/>
      </c>
      <c r="K118" s="32" t="str">
        <f t="shared" si="5"/>
        <v/>
      </c>
      <c r="L118" s="60" t="str">
        <f>IFERROR((Förderrechner!$C$7-$J$18)*IF(D118="","",D118)/IF($D$21="%",100,IF($D$21="10.000stel",10000,1000))-K118,"")</f>
        <v/>
      </c>
    </row>
    <row r="119" spans="1:12" ht="13.5" hidden="1" customHeight="1" outlineLevel="1" x14ac:dyDescent="0.35">
      <c r="A119" s="22">
        <v>97</v>
      </c>
      <c r="B119" s="17" t="str">
        <f>IF(Förderrechner!$G$9&gt;=A119,"x","")</f>
        <v/>
      </c>
      <c r="C119" s="17" t="str">
        <f>IF(Förderrechner!$G$23&gt;=A119,"x","")</f>
        <v/>
      </c>
      <c r="D119" s="58"/>
      <c r="E119" s="32" t="str">
        <f>IF(B119&lt;&gt;"",IF(AND(D119=0,Förderrechner!$G$10="Ja"),"&lt;--Eingabe?",$F$6/(Förderrechner!$G$8)),"")</f>
        <v/>
      </c>
      <c r="F119" s="20" t="str">
        <f>IF(AND(H119&lt;&gt;"",Förderrechner!$G$20="ja",B119&lt;&gt;""),IF(Förderrechner!$F$26="2024-2028",20%,IF(Förderrechner!$F$26="2029/30",17%,IF(Förderrechner!$F$26="2031/32",14%,IF(Förderrechner!F$26="2033/34",11%,IF(Förderrechner!F$26="2035/36",8%,0%))))),"")</f>
        <v/>
      </c>
      <c r="G119" s="48" t="str">
        <f t="shared" si="3"/>
        <v/>
      </c>
      <c r="H119" s="20" t="str">
        <f>IF(B119&lt;&gt;"",0.7-$J$15,IF(A119&lt;=Förderrechner!$G$8,0,""))</f>
        <v/>
      </c>
      <c r="I119" s="49" t="str">
        <f>IF(ISNUMBER(E119),MIN(E119,IF(Förderrechner!$G$10="Nein",0,IF($D$21="%",D119/100,IF($D$21="10.000stel",D119/10000,D119/1000))*$J$12)),"")</f>
        <v/>
      </c>
      <c r="J119" s="24" t="str">
        <f t="shared" si="4"/>
        <v/>
      </c>
      <c r="K119" s="32" t="str">
        <f t="shared" si="5"/>
        <v/>
      </c>
      <c r="L119" s="60" t="str">
        <f>IFERROR((Förderrechner!$C$7-$J$18)*IF(D119="","",D119)/IF($D$21="%",100,IF($D$21="10.000stel",10000,1000))-K119,"")</f>
        <v/>
      </c>
    </row>
    <row r="120" spans="1:12" ht="13.5" hidden="1" customHeight="1" outlineLevel="1" x14ac:dyDescent="0.35">
      <c r="A120" s="22">
        <v>98</v>
      </c>
      <c r="B120" s="17" t="str">
        <f>IF(Förderrechner!$G$9&gt;=A120,"x","")</f>
        <v/>
      </c>
      <c r="C120" s="17" t="str">
        <f>IF(Förderrechner!$G$23&gt;=A120,"x","")</f>
        <v/>
      </c>
      <c r="D120" s="58"/>
      <c r="E120" s="32" t="str">
        <f>IF(B120&lt;&gt;"",IF(AND(D120=0,Förderrechner!$G$10="Ja"),"&lt;--Eingabe?",$F$6/(Förderrechner!$G$8)),"")</f>
        <v/>
      </c>
      <c r="F120" s="20" t="str">
        <f>IF(AND(H120&lt;&gt;"",Förderrechner!$G$20="ja",B120&lt;&gt;""),IF(Förderrechner!$F$26="2024-2028",20%,IF(Förderrechner!$F$26="2029/30",17%,IF(Förderrechner!$F$26="2031/32",14%,IF(Förderrechner!F$26="2033/34",11%,IF(Förderrechner!F$26="2035/36",8%,0%))))),"")</f>
        <v/>
      </c>
      <c r="G120" s="48" t="str">
        <f t="shared" si="3"/>
        <v/>
      </c>
      <c r="H120" s="20" t="str">
        <f>IF(B120&lt;&gt;"",0.7-$J$15,IF(A120&lt;=Förderrechner!$G$8,0,""))</f>
        <v/>
      </c>
      <c r="I120" s="49" t="str">
        <f>IF(ISNUMBER(E120),MIN(E120,IF(Förderrechner!$G$10="Nein",0,IF($D$21="%",D120/100,IF($D$21="10.000stel",D120/10000,D120/1000))*$J$12)),"")</f>
        <v/>
      </c>
      <c r="J120" s="24" t="str">
        <f t="shared" si="4"/>
        <v/>
      </c>
      <c r="K120" s="32" t="str">
        <f t="shared" si="5"/>
        <v/>
      </c>
      <c r="L120" s="60" t="str">
        <f>IFERROR((Förderrechner!$C$7-$J$18)*IF(D120="","",D120)/IF($D$21="%",100,IF($D$21="10.000stel",10000,1000))-K120,"")</f>
        <v/>
      </c>
    </row>
    <row r="121" spans="1:12" ht="13.5" hidden="1" customHeight="1" outlineLevel="1" x14ac:dyDescent="0.35">
      <c r="A121" s="22">
        <v>99</v>
      </c>
      <c r="B121" s="17" t="str">
        <f>IF(Förderrechner!$G$9&gt;=A121,"x","")</f>
        <v/>
      </c>
      <c r="C121" s="17" t="str">
        <f>IF(Förderrechner!$G$23&gt;=A121,"x","")</f>
        <v/>
      </c>
      <c r="D121" s="58"/>
      <c r="E121" s="32" t="str">
        <f>IF(B121&lt;&gt;"",IF(AND(D121=0,Förderrechner!$G$10="Ja"),"&lt;--Eingabe?",$F$6/(Förderrechner!$G$8)),"")</f>
        <v/>
      </c>
      <c r="F121" s="20" t="str">
        <f>IF(AND(H121&lt;&gt;"",Förderrechner!$G$20="ja",B121&lt;&gt;""),IF(Förderrechner!$F$26="2024-2028",20%,IF(Förderrechner!$F$26="2029/30",17%,IF(Förderrechner!$F$26="2031/32",14%,IF(Förderrechner!F$26="2033/34",11%,IF(Förderrechner!F$26="2035/36",8%,0%))))),"")</f>
        <v/>
      </c>
      <c r="G121" s="48" t="str">
        <f t="shared" si="3"/>
        <v/>
      </c>
      <c r="H121" s="20" t="str">
        <f>IF(B121&lt;&gt;"",0.7-$J$15,IF(A121&lt;=Förderrechner!$G$8,0,""))</f>
        <v/>
      </c>
      <c r="I121" s="49" t="str">
        <f>IF(ISNUMBER(E121),MIN(E121,IF(Förderrechner!$G$10="Nein",0,IF($D$21="%",D121/100,IF($D$21="10.000stel",D121/10000,D121/1000))*$J$12)),"")</f>
        <v/>
      </c>
      <c r="J121" s="24" t="str">
        <f t="shared" si="4"/>
        <v/>
      </c>
      <c r="K121" s="32" t="str">
        <f t="shared" si="5"/>
        <v/>
      </c>
      <c r="L121" s="60" t="str">
        <f>IFERROR((Förderrechner!$C$7-$J$18)*IF(D121="","",D121)/IF($D$21="%",100,IF($D$21="10.000stel",10000,1000))-K121,"")</f>
        <v/>
      </c>
    </row>
    <row r="122" spans="1:12" ht="13.5" hidden="1" customHeight="1" outlineLevel="1" x14ac:dyDescent="0.35">
      <c r="A122" s="22">
        <v>100</v>
      </c>
      <c r="B122" s="17" t="str">
        <f>IF(Förderrechner!$G$9&gt;=A122,"x","")</f>
        <v/>
      </c>
      <c r="C122" s="17" t="str">
        <f>IF(Förderrechner!$G$23&gt;=A122,"x","")</f>
        <v/>
      </c>
      <c r="D122" s="58"/>
      <c r="E122" s="32" t="str">
        <f>IF(B122&lt;&gt;"",IF(AND(D122=0,Förderrechner!$G$10="Ja"),"&lt;--Eingabe?",$F$6/(Förderrechner!$G$8)),"")</f>
        <v/>
      </c>
      <c r="F122" s="20" t="str">
        <f>IF(AND(H122&lt;&gt;"",Förderrechner!$G$20="ja",B122&lt;&gt;""),IF(Förderrechner!$F$26="2024-2028",20%,IF(Förderrechner!$F$26="2029/30",17%,IF(Förderrechner!$F$26="2031/32",14%,IF(Förderrechner!F$26="2033/34",11%,IF(Förderrechner!F$26="2035/36",8%,0%))))),"")</f>
        <v/>
      </c>
      <c r="G122" s="48" t="str">
        <f t="shared" si="3"/>
        <v/>
      </c>
      <c r="H122" s="20" t="str">
        <f>IF(B122&lt;&gt;"",0.7-$J$15,IF(A122&lt;=Förderrechner!$G$8,0,""))</f>
        <v/>
      </c>
      <c r="I122" s="49" t="str">
        <f>IF(ISNUMBER(E122),MIN(E122,IF(Förderrechner!$G$10="Nein",0,IF($D$21="%",D122/100,IF($D$21="10.000stel",D122/10000,D122/1000))*$J$12)),"")</f>
        <v/>
      </c>
      <c r="J122" s="24" t="str">
        <f t="shared" si="4"/>
        <v/>
      </c>
      <c r="K122" s="32" t="str">
        <f t="shared" si="5"/>
        <v/>
      </c>
      <c r="L122" s="60" t="str">
        <f>IFERROR((Förderrechner!$C$7-$J$18)*IF(D122="","",D122)/IF($D$21="%",100,IF($D$21="10.000stel",10000,1000))-K122,"")</f>
        <v/>
      </c>
    </row>
    <row r="123" spans="1:12" ht="13.5" hidden="1" customHeight="1" outlineLevel="1" x14ac:dyDescent="0.35">
      <c r="A123" s="22">
        <v>101</v>
      </c>
      <c r="B123" s="17" t="str">
        <f>IF(Förderrechner!$G$9&gt;=A123,"x","")</f>
        <v/>
      </c>
      <c r="C123" s="17" t="str">
        <f>IF(Förderrechner!$G$23&gt;=A123,"x","")</f>
        <v/>
      </c>
      <c r="D123" s="58"/>
      <c r="E123" s="32" t="str">
        <f>IF(B123&lt;&gt;"",IF(AND(D123=0,Förderrechner!$G$10="Ja"),"&lt;--Eingabe?",$F$6/(Förderrechner!$G$8)),"")</f>
        <v/>
      </c>
      <c r="F123" s="20" t="str">
        <f>IF(AND(H123&lt;&gt;"",Förderrechner!$G$20="ja",B123&lt;&gt;""),IF(Förderrechner!$F$26="2024-2028",20%,IF(Förderrechner!$F$26="2029/30",17%,IF(Förderrechner!$F$26="2031/32",14%,IF(Förderrechner!F$26="2033/34",11%,IF(Förderrechner!F$26="2035/36",8%,0%))))),"")</f>
        <v/>
      </c>
      <c r="G123" s="48" t="str">
        <f t="shared" si="3"/>
        <v/>
      </c>
      <c r="H123" s="20" t="str">
        <f>IF(B123&lt;&gt;"",0.7-$J$15,IF(A123&lt;=Förderrechner!$G$8,0,""))</f>
        <v/>
      </c>
      <c r="I123" s="49" t="str">
        <f>IF(ISNUMBER(E123),MIN(E123,IF(Förderrechner!$G$10="Nein",0,IF($D$21="%",D123/100,IF($D$21="10.000stel",D123/10000,D123/1000))*$J$12)),"")</f>
        <v/>
      </c>
      <c r="J123" s="24" t="str">
        <f t="shared" si="4"/>
        <v/>
      </c>
      <c r="K123" s="32" t="str">
        <f t="shared" si="5"/>
        <v/>
      </c>
      <c r="L123" s="60" t="str">
        <f>IFERROR((Förderrechner!$C$7-$J$18)*IF(D123="","",D123)/IF($D$21="%",100,IF($D$21="10.000stel",10000,1000))-K123,"")</f>
        <v/>
      </c>
    </row>
    <row r="124" spans="1:12" ht="13.5" hidden="1" customHeight="1" outlineLevel="1" x14ac:dyDescent="0.35">
      <c r="A124" s="22">
        <v>102</v>
      </c>
      <c r="B124" s="17" t="str">
        <f>IF(Förderrechner!$G$9&gt;=A124,"x","")</f>
        <v/>
      </c>
      <c r="C124" s="17" t="str">
        <f>IF(Förderrechner!$G$23&gt;=A124,"x","")</f>
        <v/>
      </c>
      <c r="D124" s="58"/>
      <c r="E124" s="32" t="str">
        <f>IF(B124&lt;&gt;"",IF(AND(D124=0,Förderrechner!$G$10="Ja"),"&lt;--Eingabe?",$F$6/(Förderrechner!$G$8)),"")</f>
        <v/>
      </c>
      <c r="F124" s="20" t="str">
        <f>IF(AND(H124&lt;&gt;"",Förderrechner!$G$20="ja",B124&lt;&gt;""),IF(Förderrechner!$F$26="2024-2028",20%,IF(Förderrechner!$F$26="2029/30",17%,IF(Förderrechner!$F$26="2031/32",14%,IF(Förderrechner!F$26="2033/34",11%,IF(Förderrechner!F$26="2035/36",8%,0%))))),"")</f>
        <v/>
      </c>
      <c r="G124" s="48" t="str">
        <f t="shared" si="3"/>
        <v/>
      </c>
      <c r="H124" s="20" t="str">
        <f>IF(B124&lt;&gt;"",0.7-$J$15,IF(A124&lt;=Förderrechner!$G$8,0,""))</f>
        <v/>
      </c>
      <c r="I124" s="49" t="str">
        <f>IF(ISNUMBER(E124),MIN(E124,IF(Förderrechner!$G$10="Nein",0,IF($D$21="%",D124/100,IF($D$21="10.000stel",D124/10000,D124/1000))*$J$12)),"")</f>
        <v/>
      </c>
      <c r="J124" s="24" t="str">
        <f t="shared" si="4"/>
        <v/>
      </c>
      <c r="K124" s="32" t="str">
        <f t="shared" si="5"/>
        <v/>
      </c>
      <c r="L124" s="60" t="str">
        <f>IFERROR((Förderrechner!$C$7-$J$18)*IF(D124="","",D124)/IF($D$21="%",100,IF($D$21="10.000stel",10000,1000))-K124,"")</f>
        <v/>
      </c>
    </row>
    <row r="125" spans="1:12" ht="13.5" hidden="1" customHeight="1" outlineLevel="1" x14ac:dyDescent="0.35">
      <c r="A125" s="22">
        <v>103</v>
      </c>
      <c r="B125" s="17" t="str">
        <f>IF(Förderrechner!$G$9&gt;=A125,"x","")</f>
        <v/>
      </c>
      <c r="C125" s="17" t="str">
        <f>IF(Förderrechner!$G$23&gt;=A125,"x","")</f>
        <v/>
      </c>
      <c r="D125" s="58"/>
      <c r="E125" s="32" t="str">
        <f>IF(B125&lt;&gt;"",IF(AND(D125=0,Förderrechner!$G$10="Ja"),"&lt;--Eingabe?",$F$6/(Förderrechner!$G$8)),"")</f>
        <v/>
      </c>
      <c r="F125" s="20" t="str">
        <f>IF(AND(H125&lt;&gt;"",Förderrechner!$G$20="ja",B125&lt;&gt;""),IF(Förderrechner!$F$26="2024-2028",20%,IF(Förderrechner!$F$26="2029/30",17%,IF(Förderrechner!$F$26="2031/32",14%,IF(Förderrechner!F$26="2033/34",11%,IF(Förderrechner!F$26="2035/36",8%,0%))))),"")</f>
        <v/>
      </c>
      <c r="G125" s="48" t="str">
        <f t="shared" si="3"/>
        <v/>
      </c>
      <c r="H125" s="20" t="str">
        <f>IF(B125&lt;&gt;"",0.7-$J$15,IF(A125&lt;=Förderrechner!$G$8,0,""))</f>
        <v/>
      </c>
      <c r="I125" s="49" t="str">
        <f>IF(ISNUMBER(E125),MIN(E125,IF(Förderrechner!$G$10="Nein",0,IF($D$21="%",D125/100,IF($D$21="10.000stel",D125/10000,D125/1000))*$J$12)),"")</f>
        <v/>
      </c>
      <c r="J125" s="24" t="str">
        <f t="shared" si="4"/>
        <v/>
      </c>
      <c r="K125" s="32" t="str">
        <f t="shared" si="5"/>
        <v/>
      </c>
      <c r="L125" s="60" t="str">
        <f>IFERROR((Förderrechner!$C$7-$J$18)*IF(D125="","",D125)/IF($D$21="%",100,IF($D$21="10.000stel",10000,1000))-K125,"")</f>
        <v/>
      </c>
    </row>
    <row r="126" spans="1:12" ht="13.5" hidden="1" customHeight="1" outlineLevel="1" x14ac:dyDescent="0.35">
      <c r="A126" s="22">
        <v>104</v>
      </c>
      <c r="B126" s="17" t="str">
        <f>IF(Förderrechner!$G$9&gt;=A126,"x","")</f>
        <v/>
      </c>
      <c r="C126" s="17" t="str">
        <f>IF(Förderrechner!$G$23&gt;=A126,"x","")</f>
        <v/>
      </c>
      <c r="D126" s="58"/>
      <c r="E126" s="32" t="str">
        <f>IF(B126&lt;&gt;"",IF(AND(D126=0,Förderrechner!$G$10="Ja"),"&lt;--Eingabe?",$F$6/(Förderrechner!$G$8)),"")</f>
        <v/>
      </c>
      <c r="F126" s="20" t="str">
        <f>IF(AND(H126&lt;&gt;"",Förderrechner!$G$20="ja",B126&lt;&gt;""),IF(Förderrechner!$F$26="2024-2028",20%,IF(Förderrechner!$F$26="2029/30",17%,IF(Förderrechner!$F$26="2031/32",14%,IF(Förderrechner!F$26="2033/34",11%,IF(Förderrechner!F$26="2035/36",8%,0%))))),"")</f>
        <v/>
      </c>
      <c r="G126" s="48" t="str">
        <f t="shared" si="3"/>
        <v/>
      </c>
      <c r="H126" s="20" t="str">
        <f>IF(B126&lt;&gt;"",0.7-$J$15,IF(A126&lt;=Förderrechner!$G$8,0,""))</f>
        <v/>
      </c>
      <c r="I126" s="49" t="str">
        <f>IF(ISNUMBER(E126),MIN(E126,IF(Förderrechner!$G$10="Nein",0,IF($D$21="%",D126/100,IF($D$21="10.000stel",D126/10000,D126/1000))*$J$12)),"")</f>
        <v/>
      </c>
      <c r="J126" s="24" t="str">
        <f t="shared" si="4"/>
        <v/>
      </c>
      <c r="K126" s="32" t="str">
        <f t="shared" si="5"/>
        <v/>
      </c>
      <c r="L126" s="60" t="str">
        <f>IFERROR((Förderrechner!$C$7-$J$18)*IF(D126="","",D126)/IF($D$21="%",100,IF($D$21="10.000stel",10000,1000))-K126,"")</f>
        <v/>
      </c>
    </row>
    <row r="127" spans="1:12" ht="13.5" hidden="1" customHeight="1" outlineLevel="1" x14ac:dyDescent="0.35">
      <c r="A127" s="22">
        <v>105</v>
      </c>
      <c r="B127" s="17" t="str">
        <f>IF(Förderrechner!$G$9&gt;=A127,"x","")</f>
        <v/>
      </c>
      <c r="C127" s="17" t="str">
        <f>IF(Förderrechner!$G$23&gt;=A127,"x","")</f>
        <v/>
      </c>
      <c r="D127" s="58"/>
      <c r="E127" s="32" t="str">
        <f>IF(B127&lt;&gt;"",IF(AND(D127=0,Förderrechner!$G$10="Ja"),"&lt;--Eingabe?",$F$6/(Förderrechner!$G$8)),"")</f>
        <v/>
      </c>
      <c r="F127" s="20" t="str">
        <f>IF(AND(H127&lt;&gt;"",Förderrechner!$G$20="ja",B127&lt;&gt;""),IF(Förderrechner!$F$26="2024-2028",20%,IF(Förderrechner!$F$26="2029/30",17%,IF(Förderrechner!$F$26="2031/32",14%,IF(Förderrechner!F$26="2033/34",11%,IF(Förderrechner!F$26="2035/36",8%,0%))))),"")</f>
        <v/>
      </c>
      <c r="G127" s="48" t="str">
        <f t="shared" si="3"/>
        <v/>
      </c>
      <c r="H127" s="20" t="str">
        <f>IF(B127&lt;&gt;"",0.7-$J$15,IF(A127&lt;=Förderrechner!$G$8,0,""))</f>
        <v/>
      </c>
      <c r="I127" s="49" t="str">
        <f>IF(ISNUMBER(E127),MIN(E127,IF(Förderrechner!$G$10="Nein",0,IF($D$21="%",D127/100,IF($D$21="10.000stel",D127/10000,D127/1000))*$J$12)),"")</f>
        <v/>
      </c>
      <c r="J127" s="24" t="str">
        <f t="shared" si="4"/>
        <v/>
      </c>
      <c r="K127" s="32" t="str">
        <f t="shared" si="5"/>
        <v/>
      </c>
      <c r="L127" s="60" t="str">
        <f>IFERROR((Förderrechner!$C$7-$J$18)*IF(D127="","",D127)/IF($D$21="%",100,IF($D$21="10.000stel",10000,1000))-K127,"")</f>
        <v/>
      </c>
    </row>
    <row r="128" spans="1:12" ht="13.5" hidden="1" customHeight="1" outlineLevel="1" x14ac:dyDescent="0.35">
      <c r="A128" s="22">
        <v>106</v>
      </c>
      <c r="B128" s="17" t="str">
        <f>IF(Förderrechner!$G$9&gt;=A128,"x","")</f>
        <v/>
      </c>
      <c r="C128" s="17" t="str">
        <f>IF(Förderrechner!$G$23&gt;=A128,"x","")</f>
        <v/>
      </c>
      <c r="D128" s="58"/>
      <c r="E128" s="32" t="str">
        <f>IF(B128&lt;&gt;"",IF(AND(D128=0,Förderrechner!$G$10="Ja"),"&lt;--Eingabe?",$F$6/(Förderrechner!$G$8)),"")</f>
        <v/>
      </c>
      <c r="F128" s="20" t="str">
        <f>IF(AND(H128&lt;&gt;"",Förderrechner!$G$20="ja",B128&lt;&gt;""),IF(Förderrechner!$F$26="2024-2028",20%,IF(Förderrechner!$F$26="2029/30",17%,IF(Förderrechner!$F$26="2031/32",14%,IF(Förderrechner!F$26="2033/34",11%,IF(Förderrechner!F$26="2035/36",8%,0%))))),"")</f>
        <v/>
      </c>
      <c r="G128" s="48" t="str">
        <f t="shared" si="3"/>
        <v/>
      </c>
      <c r="H128" s="20" t="str">
        <f>IF(B128&lt;&gt;"",0.7-$J$15,IF(A128&lt;=Förderrechner!$G$8,0,""))</f>
        <v/>
      </c>
      <c r="I128" s="49" t="str">
        <f>IF(ISNUMBER(E128),MIN(E128,IF(Förderrechner!$G$10="Nein",0,IF($D$21="%",D128/100,IF($D$21="10.000stel",D128/10000,D128/1000))*$J$12)),"")</f>
        <v/>
      </c>
      <c r="J128" s="24" t="str">
        <f t="shared" si="4"/>
        <v/>
      </c>
      <c r="K128" s="32" t="str">
        <f t="shared" si="5"/>
        <v/>
      </c>
      <c r="L128" s="60" t="str">
        <f>IFERROR((Förderrechner!$C$7-$J$18)*IF(D128="","",D128)/IF($D$21="%",100,IF($D$21="10.000stel",10000,1000))-K128,"")</f>
        <v/>
      </c>
    </row>
    <row r="129" spans="1:12" ht="13.5" hidden="1" customHeight="1" outlineLevel="1" x14ac:dyDescent="0.35">
      <c r="A129" s="22">
        <v>107</v>
      </c>
      <c r="B129" s="17" t="str">
        <f>IF(Förderrechner!$G$9&gt;=A129,"x","")</f>
        <v/>
      </c>
      <c r="C129" s="17" t="str">
        <f>IF(Förderrechner!$G$23&gt;=A129,"x","")</f>
        <v/>
      </c>
      <c r="D129" s="58"/>
      <c r="E129" s="32" t="str">
        <f>IF(B129&lt;&gt;"",IF(AND(D129=0,Förderrechner!$G$10="Ja"),"&lt;--Eingabe?",$F$6/(Förderrechner!$G$8)),"")</f>
        <v/>
      </c>
      <c r="F129" s="20" t="str">
        <f>IF(AND(H129&lt;&gt;"",Förderrechner!$G$20="ja",B129&lt;&gt;""),IF(Förderrechner!$F$26="2024-2028",20%,IF(Förderrechner!$F$26="2029/30",17%,IF(Förderrechner!$F$26="2031/32",14%,IF(Förderrechner!F$26="2033/34",11%,IF(Förderrechner!F$26="2035/36",8%,0%))))),"")</f>
        <v/>
      </c>
      <c r="G129" s="48" t="str">
        <f t="shared" si="3"/>
        <v/>
      </c>
      <c r="H129" s="20" t="str">
        <f>IF(B129&lt;&gt;"",0.7-$J$15,IF(A129&lt;=Förderrechner!$G$8,0,""))</f>
        <v/>
      </c>
      <c r="I129" s="49" t="str">
        <f>IF(ISNUMBER(E129),MIN(E129,IF(Förderrechner!$G$10="Nein",0,IF($D$21="%",D129/100,IF($D$21="10.000stel",D129/10000,D129/1000))*$J$12)),"")</f>
        <v/>
      </c>
      <c r="J129" s="24" t="str">
        <f t="shared" si="4"/>
        <v/>
      </c>
      <c r="K129" s="32" t="str">
        <f t="shared" si="5"/>
        <v/>
      </c>
      <c r="L129" s="60" t="str">
        <f>IFERROR((Förderrechner!$C$7-$J$18)*IF(D129="","",D129)/IF($D$21="%",100,IF($D$21="10.000stel",10000,1000))-K129,"")</f>
        <v/>
      </c>
    </row>
    <row r="130" spans="1:12" ht="13.5" hidden="1" customHeight="1" outlineLevel="1" x14ac:dyDescent="0.35">
      <c r="A130" s="22">
        <v>108</v>
      </c>
      <c r="B130" s="17" t="str">
        <f>IF(Förderrechner!$G$9&gt;=A130,"x","")</f>
        <v/>
      </c>
      <c r="C130" s="17" t="str">
        <f>IF(Förderrechner!$G$23&gt;=A130,"x","")</f>
        <v/>
      </c>
      <c r="D130" s="58"/>
      <c r="E130" s="32" t="str">
        <f>IF(B130&lt;&gt;"",IF(AND(D130=0,Förderrechner!$G$10="Ja"),"&lt;--Eingabe?",$F$6/(Förderrechner!$G$8)),"")</f>
        <v/>
      </c>
      <c r="F130" s="20" t="str">
        <f>IF(AND(H130&lt;&gt;"",Förderrechner!$G$20="ja",B130&lt;&gt;""),IF(Förderrechner!$F$26="2024-2028",20%,IF(Förderrechner!$F$26="2029/30",17%,IF(Förderrechner!$F$26="2031/32",14%,IF(Förderrechner!F$26="2033/34",11%,IF(Förderrechner!F$26="2035/36",8%,0%))))),"")</f>
        <v/>
      </c>
      <c r="G130" s="48" t="str">
        <f t="shared" si="3"/>
        <v/>
      </c>
      <c r="H130" s="20" t="str">
        <f>IF(B130&lt;&gt;"",0.7-$J$15,IF(A130&lt;=Förderrechner!$G$8,0,""))</f>
        <v/>
      </c>
      <c r="I130" s="49" t="str">
        <f>IF(ISNUMBER(E130),MIN(E130,IF(Förderrechner!$G$10="Nein",0,IF($D$21="%",D130/100,IF($D$21="10.000stel",D130/10000,D130/1000))*$J$12)),"")</f>
        <v/>
      </c>
      <c r="J130" s="24" t="str">
        <f t="shared" si="4"/>
        <v/>
      </c>
      <c r="K130" s="32" t="str">
        <f t="shared" si="5"/>
        <v/>
      </c>
      <c r="L130" s="60" t="str">
        <f>IFERROR((Förderrechner!$C$7-$J$18)*IF(D130="","",D130)/IF($D$21="%",100,IF($D$21="10.000stel",10000,1000))-K130,"")</f>
        <v/>
      </c>
    </row>
    <row r="131" spans="1:12" ht="13.5" hidden="1" customHeight="1" outlineLevel="1" x14ac:dyDescent="0.35">
      <c r="A131" s="22">
        <v>109</v>
      </c>
      <c r="B131" s="17" t="str">
        <f>IF(Förderrechner!$G$9&gt;=A131,"x","")</f>
        <v/>
      </c>
      <c r="C131" s="17" t="str">
        <f>IF(Förderrechner!$G$23&gt;=A131,"x","")</f>
        <v/>
      </c>
      <c r="D131" s="58"/>
      <c r="E131" s="32" t="str">
        <f>IF(B131&lt;&gt;"",IF(AND(D131=0,Förderrechner!$G$10="Ja"),"&lt;--Eingabe?",$F$6/(Förderrechner!$G$8)),"")</f>
        <v/>
      </c>
      <c r="F131" s="20" t="str">
        <f>IF(AND(H131&lt;&gt;"",Förderrechner!$G$20="ja",B131&lt;&gt;""),IF(Förderrechner!$F$26="2024-2028",20%,IF(Förderrechner!$F$26="2029/30",17%,IF(Förderrechner!$F$26="2031/32",14%,IF(Förderrechner!F$26="2033/34",11%,IF(Förderrechner!F$26="2035/36",8%,0%))))),"")</f>
        <v/>
      </c>
      <c r="G131" s="48" t="str">
        <f t="shared" si="3"/>
        <v/>
      </c>
      <c r="H131" s="20" t="str">
        <f>IF(B131&lt;&gt;"",0.7-$J$15,IF(A131&lt;=Förderrechner!$G$8,0,""))</f>
        <v/>
      </c>
      <c r="I131" s="49" t="str">
        <f>IF(ISNUMBER(E131),MIN(E131,IF(Förderrechner!$G$10="Nein",0,IF($D$21="%",D131/100,IF($D$21="10.000stel",D131/10000,D131/1000))*$J$12)),"")</f>
        <v/>
      </c>
      <c r="J131" s="24" t="str">
        <f t="shared" si="4"/>
        <v/>
      </c>
      <c r="K131" s="32" t="str">
        <f t="shared" si="5"/>
        <v/>
      </c>
      <c r="L131" s="60" t="str">
        <f>IFERROR((Förderrechner!$C$7-$J$18)*IF(D131="","",D131)/IF($D$21="%",100,IF($D$21="10.000stel",10000,1000))-K131,"")</f>
        <v/>
      </c>
    </row>
    <row r="132" spans="1:12" ht="13.5" hidden="1" customHeight="1" outlineLevel="1" x14ac:dyDescent="0.35">
      <c r="A132" s="22">
        <v>110</v>
      </c>
      <c r="B132" s="17" t="str">
        <f>IF(Förderrechner!$G$9&gt;=A132,"x","")</f>
        <v/>
      </c>
      <c r="C132" s="17" t="str">
        <f>IF(Förderrechner!$G$23&gt;=A132,"x","")</f>
        <v/>
      </c>
      <c r="D132" s="58"/>
      <c r="E132" s="32" t="str">
        <f>IF(B132&lt;&gt;"",IF(AND(D132=0,Förderrechner!$G$10="Ja"),"&lt;--Eingabe?",$F$6/(Förderrechner!$G$8)),"")</f>
        <v/>
      </c>
      <c r="F132" s="20" t="str">
        <f>IF(AND(H132&lt;&gt;"",Förderrechner!$G$20="ja",B132&lt;&gt;""),IF(Förderrechner!$F$26="2024-2028",20%,IF(Förderrechner!$F$26="2029/30",17%,IF(Förderrechner!$F$26="2031/32",14%,IF(Förderrechner!F$26="2033/34",11%,IF(Förderrechner!F$26="2035/36",8%,0%))))),"")</f>
        <v/>
      </c>
      <c r="G132" s="48" t="str">
        <f t="shared" si="3"/>
        <v/>
      </c>
      <c r="H132" s="20" t="str">
        <f>IF(B132&lt;&gt;"",0.7-$J$15,IF(A132&lt;=Förderrechner!$G$8,0,""))</f>
        <v/>
      </c>
      <c r="I132" s="49" t="str">
        <f>IF(ISNUMBER(E132),MIN(E132,IF(Förderrechner!$G$10="Nein",0,IF($D$21="%",D132/100,IF($D$21="10.000stel",D132/10000,D132/1000))*$J$12)),"")</f>
        <v/>
      </c>
      <c r="J132" s="24" t="str">
        <f t="shared" si="4"/>
        <v/>
      </c>
      <c r="K132" s="32" t="str">
        <f t="shared" si="5"/>
        <v/>
      </c>
      <c r="L132" s="60" t="str">
        <f>IFERROR((Förderrechner!$C$7-$J$18)*IF(D132="","",D132)/IF($D$21="%",100,IF($D$21="10.000stel",10000,1000))-K132,"")</f>
        <v/>
      </c>
    </row>
    <row r="133" spans="1:12" ht="13.5" hidden="1" customHeight="1" outlineLevel="1" x14ac:dyDescent="0.35">
      <c r="A133" s="22">
        <v>111</v>
      </c>
      <c r="B133" s="17" t="str">
        <f>IF(Förderrechner!$G$9&gt;=A133,"x","")</f>
        <v/>
      </c>
      <c r="C133" s="17" t="str">
        <f>IF(Förderrechner!$G$23&gt;=A133,"x","")</f>
        <v/>
      </c>
      <c r="D133" s="58"/>
      <c r="E133" s="32" t="str">
        <f>IF(B133&lt;&gt;"",IF(AND(D133=0,Förderrechner!$G$10="Ja"),"&lt;--Eingabe?",$F$6/(Förderrechner!$G$8)),"")</f>
        <v/>
      </c>
      <c r="F133" s="20" t="str">
        <f>IF(AND(H133&lt;&gt;"",Förderrechner!$G$20="ja",B133&lt;&gt;""),IF(Förderrechner!$F$26="2024-2028",20%,IF(Förderrechner!$F$26="2029/30",17%,IF(Förderrechner!$F$26="2031/32",14%,IF(Förderrechner!F$26="2033/34",11%,IF(Förderrechner!F$26="2035/36",8%,0%))))),"")</f>
        <v/>
      </c>
      <c r="G133" s="48" t="str">
        <f t="shared" si="3"/>
        <v/>
      </c>
      <c r="H133" s="20" t="str">
        <f>IF(B133&lt;&gt;"",0.7-$J$15,IF(A133&lt;=Förderrechner!$G$8,0,""))</f>
        <v/>
      </c>
      <c r="I133" s="49" t="str">
        <f>IF(ISNUMBER(E133),MIN(E133,IF(Förderrechner!$G$10="Nein",0,IF($D$21="%",D133/100,IF($D$21="10.000stel",D133/10000,D133/1000))*$J$12)),"")</f>
        <v/>
      </c>
      <c r="J133" s="24" t="str">
        <f t="shared" si="4"/>
        <v/>
      </c>
      <c r="K133" s="32" t="str">
        <f t="shared" si="5"/>
        <v/>
      </c>
      <c r="L133" s="60" t="str">
        <f>IFERROR((Förderrechner!$C$7-$J$18)*IF(D133="","",D133)/IF($D$21="%",100,IF($D$21="10.000stel",10000,1000))-K133,"")</f>
        <v/>
      </c>
    </row>
    <row r="134" spans="1:12" ht="13.5" hidden="1" customHeight="1" outlineLevel="1" x14ac:dyDescent="0.35">
      <c r="A134" s="22">
        <v>112</v>
      </c>
      <c r="B134" s="17" t="str">
        <f>IF(Förderrechner!$G$9&gt;=A134,"x","")</f>
        <v/>
      </c>
      <c r="C134" s="17" t="str">
        <f>IF(Förderrechner!$G$23&gt;=A134,"x","")</f>
        <v/>
      </c>
      <c r="D134" s="58"/>
      <c r="E134" s="32" t="str">
        <f>IF(B134&lt;&gt;"",IF(AND(D134=0,Förderrechner!$G$10="Ja"),"&lt;--Eingabe?",$F$6/(Förderrechner!$G$8)),"")</f>
        <v/>
      </c>
      <c r="F134" s="20" t="str">
        <f>IF(AND(H134&lt;&gt;"",Förderrechner!$G$20="ja",B134&lt;&gt;""),IF(Förderrechner!$F$26="2024-2028",20%,IF(Förderrechner!$F$26="2029/30",17%,IF(Förderrechner!$F$26="2031/32",14%,IF(Förderrechner!F$26="2033/34",11%,IF(Förderrechner!F$26="2035/36",8%,0%))))),"")</f>
        <v/>
      </c>
      <c r="G134" s="48" t="str">
        <f t="shared" si="3"/>
        <v/>
      </c>
      <c r="H134" s="20" t="str">
        <f>IF(B134&lt;&gt;"",0.7-$J$15,IF(A134&lt;=Förderrechner!$G$8,0,""))</f>
        <v/>
      </c>
      <c r="I134" s="49" t="str">
        <f>IF(ISNUMBER(E134),MIN(E134,IF(Förderrechner!$G$10="Nein",0,IF($D$21="%",D134/100,IF($D$21="10.000stel",D134/10000,D134/1000))*$J$12)),"")</f>
        <v/>
      </c>
      <c r="J134" s="24" t="str">
        <f t="shared" si="4"/>
        <v/>
      </c>
      <c r="K134" s="32" t="str">
        <f t="shared" si="5"/>
        <v/>
      </c>
      <c r="L134" s="60" t="str">
        <f>IFERROR((Förderrechner!$C$7-$J$18)*IF(D134="","",D134)/IF($D$21="%",100,IF($D$21="10.000stel",10000,1000))-K134,"")</f>
        <v/>
      </c>
    </row>
    <row r="135" spans="1:12" ht="13.5" hidden="1" customHeight="1" outlineLevel="1" x14ac:dyDescent="0.35">
      <c r="A135" s="22">
        <v>113</v>
      </c>
      <c r="B135" s="17" t="str">
        <f>IF(Förderrechner!$G$9&gt;=A135,"x","")</f>
        <v/>
      </c>
      <c r="C135" s="17" t="str">
        <f>IF(Förderrechner!$G$23&gt;=A135,"x","")</f>
        <v/>
      </c>
      <c r="D135" s="58"/>
      <c r="E135" s="32" t="str">
        <f>IF(B135&lt;&gt;"",IF(AND(D135=0,Förderrechner!$G$10="Ja"),"&lt;--Eingabe?",$F$6/(Förderrechner!$G$8)),"")</f>
        <v/>
      </c>
      <c r="F135" s="20" t="str">
        <f>IF(AND(H135&lt;&gt;"",Förderrechner!$G$20="ja",B135&lt;&gt;""),IF(Förderrechner!$F$26="2024-2028",20%,IF(Förderrechner!$F$26="2029/30",17%,IF(Förderrechner!$F$26="2031/32",14%,IF(Förderrechner!F$26="2033/34",11%,IF(Förderrechner!F$26="2035/36",8%,0%))))),"")</f>
        <v/>
      </c>
      <c r="G135" s="48" t="str">
        <f t="shared" si="3"/>
        <v/>
      </c>
      <c r="H135" s="20" t="str">
        <f>IF(B135&lt;&gt;"",0.7-$J$15,IF(A135&lt;=Förderrechner!$G$8,0,""))</f>
        <v/>
      </c>
      <c r="I135" s="49" t="str">
        <f>IF(ISNUMBER(E135),MIN(E135,IF(Förderrechner!$G$10="Nein",0,IF($D$21="%",D135/100,IF($D$21="10.000stel",D135/10000,D135/1000))*$J$12)),"")</f>
        <v/>
      </c>
      <c r="J135" s="24" t="str">
        <f t="shared" si="4"/>
        <v/>
      </c>
      <c r="K135" s="32" t="str">
        <f t="shared" si="5"/>
        <v/>
      </c>
      <c r="L135" s="60" t="str">
        <f>IFERROR((Förderrechner!$C$7-$J$18)*IF(D135="","",D135)/IF($D$21="%",100,IF($D$21="10.000stel",10000,1000))-K135,"")</f>
        <v/>
      </c>
    </row>
    <row r="136" spans="1:12" ht="13.5" hidden="1" customHeight="1" outlineLevel="1" x14ac:dyDescent="0.35">
      <c r="A136" s="22">
        <v>114</v>
      </c>
      <c r="B136" s="17" t="str">
        <f>IF(Förderrechner!$G$9&gt;=A136,"x","")</f>
        <v/>
      </c>
      <c r="C136" s="17" t="str">
        <f>IF(Förderrechner!$G$23&gt;=A136,"x","")</f>
        <v/>
      </c>
      <c r="D136" s="58"/>
      <c r="E136" s="32" t="str">
        <f>IF(B136&lt;&gt;"",IF(AND(D136=0,Förderrechner!$G$10="Ja"),"&lt;--Eingabe?",$F$6/(Förderrechner!$G$8)),"")</f>
        <v/>
      </c>
      <c r="F136" s="20" t="str">
        <f>IF(AND(H136&lt;&gt;"",Förderrechner!$G$20="ja",B136&lt;&gt;""),IF(Förderrechner!$F$26="2024-2028",20%,IF(Förderrechner!$F$26="2029/30",17%,IF(Förderrechner!$F$26="2031/32",14%,IF(Förderrechner!F$26="2033/34",11%,IF(Förderrechner!F$26="2035/36",8%,0%))))),"")</f>
        <v/>
      </c>
      <c r="G136" s="48" t="str">
        <f t="shared" si="3"/>
        <v/>
      </c>
      <c r="H136" s="20" t="str">
        <f>IF(B136&lt;&gt;"",0.7-$J$15,IF(A136&lt;=Förderrechner!$G$8,0,""))</f>
        <v/>
      </c>
      <c r="I136" s="49" t="str">
        <f>IF(ISNUMBER(E136),MIN(E136,IF(Förderrechner!$G$10="Nein",0,IF($D$21="%",D136/100,IF($D$21="10.000stel",D136/10000,D136/1000))*$J$12)),"")</f>
        <v/>
      </c>
      <c r="J136" s="24" t="str">
        <f t="shared" si="4"/>
        <v/>
      </c>
      <c r="K136" s="32" t="str">
        <f t="shared" si="5"/>
        <v/>
      </c>
      <c r="L136" s="60" t="str">
        <f>IFERROR((Förderrechner!$C$7-$J$18)*IF(D136="","",D136)/IF($D$21="%",100,IF($D$21="10.000stel",10000,1000))-K136,"")</f>
        <v/>
      </c>
    </row>
    <row r="137" spans="1:12" ht="13.5" hidden="1" customHeight="1" outlineLevel="1" x14ac:dyDescent="0.35">
      <c r="A137" s="22">
        <v>115</v>
      </c>
      <c r="B137" s="17" t="str">
        <f>IF(Förderrechner!$G$9&gt;=A137,"x","")</f>
        <v/>
      </c>
      <c r="C137" s="17" t="str">
        <f>IF(Förderrechner!$G$23&gt;=A137,"x","")</f>
        <v/>
      </c>
      <c r="D137" s="58"/>
      <c r="E137" s="32" t="str">
        <f>IF(B137&lt;&gt;"",IF(AND(D137=0,Förderrechner!$G$10="Ja"),"&lt;--Eingabe?",$F$6/(Förderrechner!$G$8)),"")</f>
        <v/>
      </c>
      <c r="F137" s="20" t="str">
        <f>IF(AND(H137&lt;&gt;"",Förderrechner!$G$20="ja",B137&lt;&gt;""),IF(Förderrechner!$F$26="2024-2028",20%,IF(Förderrechner!$F$26="2029/30",17%,IF(Förderrechner!$F$26="2031/32",14%,IF(Förderrechner!F$26="2033/34",11%,IF(Förderrechner!F$26="2035/36",8%,0%))))),"")</f>
        <v/>
      </c>
      <c r="G137" s="48" t="str">
        <f t="shared" si="3"/>
        <v/>
      </c>
      <c r="H137" s="20" t="str">
        <f>IF(B137&lt;&gt;"",0.7-$J$15,IF(A137&lt;=Förderrechner!$G$8,0,""))</f>
        <v/>
      </c>
      <c r="I137" s="49" t="str">
        <f>IF(ISNUMBER(E137),MIN(E137,IF(Förderrechner!$G$10="Nein",0,IF($D$21="%",D137/100,IF($D$21="10.000stel",D137/10000,D137/1000))*$J$12)),"")</f>
        <v/>
      </c>
      <c r="J137" s="24" t="str">
        <f t="shared" si="4"/>
        <v/>
      </c>
      <c r="K137" s="32" t="str">
        <f t="shared" si="5"/>
        <v/>
      </c>
      <c r="L137" s="60" t="str">
        <f>IFERROR((Förderrechner!$C$7-$J$18)*IF(D137="","",D137)/IF($D$21="%",100,IF($D$21="10.000stel",10000,1000))-K137,"")</f>
        <v/>
      </c>
    </row>
    <row r="138" spans="1:12" ht="13.5" hidden="1" customHeight="1" outlineLevel="1" x14ac:dyDescent="0.35">
      <c r="A138" s="22">
        <v>116</v>
      </c>
      <c r="B138" s="17" t="str">
        <f>IF(Förderrechner!$G$9&gt;=A138,"x","")</f>
        <v/>
      </c>
      <c r="C138" s="17" t="str">
        <f>IF(Förderrechner!$G$23&gt;=A138,"x","")</f>
        <v/>
      </c>
      <c r="D138" s="58"/>
      <c r="E138" s="32" t="str">
        <f>IF(B138&lt;&gt;"",IF(AND(D138=0,Förderrechner!$G$10="Ja"),"&lt;--Eingabe?",$F$6/(Förderrechner!$G$8)),"")</f>
        <v/>
      </c>
      <c r="F138" s="20" t="str">
        <f>IF(AND(H138&lt;&gt;"",Förderrechner!$G$20="ja",B138&lt;&gt;""),IF(Förderrechner!$F$26="2024-2028",20%,IF(Förderrechner!$F$26="2029/30",17%,IF(Förderrechner!$F$26="2031/32",14%,IF(Förderrechner!F$26="2033/34",11%,IF(Förderrechner!F$26="2035/36",8%,0%))))),"")</f>
        <v/>
      </c>
      <c r="G138" s="48" t="str">
        <f t="shared" si="3"/>
        <v/>
      </c>
      <c r="H138" s="20" t="str">
        <f>IF(B138&lt;&gt;"",0.7-$J$15,IF(A138&lt;=Förderrechner!$G$8,0,""))</f>
        <v/>
      </c>
      <c r="I138" s="49" t="str">
        <f>IF(ISNUMBER(E138),MIN(E138,IF(Förderrechner!$G$10="Nein",0,IF($D$21="%",D138/100,IF($D$21="10.000stel",D138/10000,D138/1000))*$J$12)),"")</f>
        <v/>
      </c>
      <c r="J138" s="24" t="str">
        <f t="shared" si="4"/>
        <v/>
      </c>
      <c r="K138" s="32" t="str">
        <f t="shared" si="5"/>
        <v/>
      </c>
      <c r="L138" s="60" t="str">
        <f>IFERROR((Förderrechner!$C$7-$J$18)*IF(D138="","",D138)/IF($D$21="%",100,IF($D$21="10.000stel",10000,1000))-K138,"")</f>
        <v/>
      </c>
    </row>
    <row r="139" spans="1:12" ht="13.5" hidden="1" customHeight="1" outlineLevel="1" x14ac:dyDescent="0.35">
      <c r="A139" s="22">
        <v>117</v>
      </c>
      <c r="B139" s="17" t="str">
        <f>IF(Förderrechner!$G$9&gt;=A139,"x","")</f>
        <v/>
      </c>
      <c r="C139" s="17" t="str">
        <f>IF(Förderrechner!$G$23&gt;=A139,"x","")</f>
        <v/>
      </c>
      <c r="D139" s="58"/>
      <c r="E139" s="32" t="str">
        <f>IF(B139&lt;&gt;"",IF(AND(D139=0,Förderrechner!$G$10="Ja"),"&lt;--Eingabe?",$F$6/(Förderrechner!$G$8)),"")</f>
        <v/>
      </c>
      <c r="F139" s="20" t="str">
        <f>IF(AND(H139&lt;&gt;"",Förderrechner!$G$20="ja",B139&lt;&gt;""),IF(Förderrechner!$F$26="2024-2028",20%,IF(Förderrechner!$F$26="2029/30",17%,IF(Förderrechner!$F$26="2031/32",14%,IF(Förderrechner!F$26="2033/34",11%,IF(Förderrechner!F$26="2035/36",8%,0%))))),"")</f>
        <v/>
      </c>
      <c r="G139" s="48" t="str">
        <f t="shared" si="3"/>
        <v/>
      </c>
      <c r="H139" s="20" t="str">
        <f>IF(B139&lt;&gt;"",0.7-$J$15,IF(A139&lt;=Förderrechner!$G$8,0,""))</f>
        <v/>
      </c>
      <c r="I139" s="49" t="str">
        <f>IF(ISNUMBER(E139),MIN(E139,IF(Förderrechner!$G$10="Nein",0,IF($D$21="%",D139/100,IF($D$21="10.000stel",D139/10000,D139/1000))*$J$12)),"")</f>
        <v/>
      </c>
      <c r="J139" s="24" t="str">
        <f t="shared" si="4"/>
        <v/>
      </c>
      <c r="K139" s="32" t="str">
        <f t="shared" si="5"/>
        <v/>
      </c>
      <c r="L139" s="60" t="str">
        <f>IFERROR((Förderrechner!$C$7-$J$18)*IF(D139="","",D139)/IF($D$21="%",100,IF($D$21="10.000stel",10000,1000))-K139,"")</f>
        <v/>
      </c>
    </row>
    <row r="140" spans="1:12" ht="13.5" hidden="1" customHeight="1" outlineLevel="1" x14ac:dyDescent="0.35">
      <c r="A140" s="22">
        <v>118</v>
      </c>
      <c r="B140" s="17" t="str">
        <f>IF(Förderrechner!$G$9&gt;=A140,"x","")</f>
        <v/>
      </c>
      <c r="C140" s="17" t="str">
        <f>IF(Förderrechner!$G$23&gt;=A140,"x","")</f>
        <v/>
      </c>
      <c r="D140" s="58"/>
      <c r="E140" s="32" t="str">
        <f>IF(B140&lt;&gt;"",IF(AND(D140=0,Förderrechner!$G$10="Ja"),"&lt;--Eingabe?",$F$6/(Förderrechner!$G$8)),"")</f>
        <v/>
      </c>
      <c r="F140" s="20" t="str">
        <f>IF(AND(H140&lt;&gt;"",Förderrechner!$G$20="ja",B140&lt;&gt;""),IF(Förderrechner!$F$26="2024-2028",20%,IF(Förderrechner!$F$26="2029/30",17%,IF(Förderrechner!$F$26="2031/32",14%,IF(Förderrechner!F$26="2033/34",11%,IF(Förderrechner!F$26="2035/36",8%,0%))))),"")</f>
        <v/>
      </c>
      <c r="G140" s="48" t="str">
        <f t="shared" si="3"/>
        <v/>
      </c>
      <c r="H140" s="20" t="str">
        <f>IF(B140&lt;&gt;"",0.7-$J$15,IF(A140&lt;=Förderrechner!$G$8,0,""))</f>
        <v/>
      </c>
      <c r="I140" s="49" t="str">
        <f>IF(ISNUMBER(E140),MIN(E140,IF(Förderrechner!$G$10="Nein",0,IF($D$21="%",D140/100,IF($D$21="10.000stel",D140/10000,D140/1000))*$J$12)),"")</f>
        <v/>
      </c>
      <c r="J140" s="24" t="str">
        <f t="shared" si="4"/>
        <v/>
      </c>
      <c r="K140" s="32" t="str">
        <f t="shared" si="5"/>
        <v/>
      </c>
      <c r="L140" s="60" t="str">
        <f>IFERROR((Förderrechner!$C$7-$J$18)*IF(D140="","",D140)/IF($D$21="%",100,IF($D$21="10.000stel",10000,1000))-K140,"")</f>
        <v/>
      </c>
    </row>
    <row r="141" spans="1:12" ht="13.5" hidden="1" customHeight="1" outlineLevel="1" x14ac:dyDescent="0.35">
      <c r="A141" s="22">
        <v>119</v>
      </c>
      <c r="B141" s="17" t="str">
        <f>IF(Förderrechner!$G$9&gt;=A141,"x","")</f>
        <v/>
      </c>
      <c r="C141" s="17" t="str">
        <f>IF(Förderrechner!$G$23&gt;=A141,"x","")</f>
        <v/>
      </c>
      <c r="D141" s="58"/>
      <c r="E141" s="32" t="str">
        <f>IF(B141&lt;&gt;"",IF(AND(D141=0,Förderrechner!$G$10="Ja"),"&lt;--Eingabe?",$F$6/(Förderrechner!$G$8)),"")</f>
        <v/>
      </c>
      <c r="F141" s="20" t="str">
        <f>IF(AND(H141&lt;&gt;"",Förderrechner!$G$20="ja",B141&lt;&gt;""),IF(Förderrechner!$F$26="2024-2028",20%,IF(Förderrechner!$F$26="2029/30",17%,IF(Förderrechner!$F$26="2031/32",14%,IF(Förderrechner!F$26="2033/34",11%,IF(Förderrechner!F$26="2035/36",8%,0%))))),"")</f>
        <v/>
      </c>
      <c r="G141" s="48" t="str">
        <f t="shared" si="3"/>
        <v/>
      </c>
      <c r="H141" s="20" t="str">
        <f>IF(B141&lt;&gt;"",0.7-$J$15,IF(A141&lt;=Förderrechner!$G$8,0,""))</f>
        <v/>
      </c>
      <c r="I141" s="49" t="str">
        <f>IF(ISNUMBER(E141),MIN(E141,IF(Förderrechner!$G$10="Nein",0,IF($D$21="%",D141/100,IF($D$21="10.000stel",D141/10000,D141/1000))*$J$12)),"")</f>
        <v/>
      </c>
      <c r="J141" s="24" t="str">
        <f t="shared" si="4"/>
        <v/>
      </c>
      <c r="K141" s="32" t="str">
        <f t="shared" si="5"/>
        <v/>
      </c>
      <c r="L141" s="60" t="str">
        <f>IFERROR((Förderrechner!$C$7-$J$18)*IF(D141="","",D141)/IF($D$21="%",100,IF($D$21="10.000stel",10000,1000))-K141,"")</f>
        <v/>
      </c>
    </row>
    <row r="142" spans="1:12" ht="13.5" hidden="1" customHeight="1" outlineLevel="1" x14ac:dyDescent="0.35">
      <c r="A142" s="22">
        <v>120</v>
      </c>
      <c r="B142" s="17" t="str">
        <f>IF(Förderrechner!$G$9&gt;=A142,"x","")</f>
        <v/>
      </c>
      <c r="C142" s="17" t="str">
        <f>IF(Förderrechner!$G$23&gt;=A142,"x","")</f>
        <v/>
      </c>
      <c r="D142" s="58"/>
      <c r="E142" s="32" t="str">
        <f>IF(B142&lt;&gt;"",IF(AND(D142=0,Förderrechner!$G$10="Ja"),"&lt;--Eingabe?",$F$6/(Förderrechner!$G$8)),"")</f>
        <v/>
      </c>
      <c r="F142" s="20" t="str">
        <f>IF(AND(H142&lt;&gt;"",Förderrechner!$G$20="ja",B142&lt;&gt;""),IF(Förderrechner!$F$26="2024-2028",20%,IF(Förderrechner!$F$26="2029/30",17%,IF(Förderrechner!$F$26="2031/32",14%,IF(Förderrechner!F$26="2033/34",11%,IF(Förderrechner!F$26="2035/36",8%,0%))))),"")</f>
        <v/>
      </c>
      <c r="G142" s="48" t="str">
        <f t="shared" si="3"/>
        <v/>
      </c>
      <c r="H142" s="20" t="str">
        <f>IF(B142&lt;&gt;"",0.7-$J$15,IF(A142&lt;=Förderrechner!$G$8,0,""))</f>
        <v/>
      </c>
      <c r="I142" s="49" t="str">
        <f>IF(ISNUMBER(E142),MIN(E142,IF(Förderrechner!$G$10="Nein",0,IF($D$21="%",D142/100,IF($D$21="10.000stel",D142/10000,D142/1000))*$J$12)),"")</f>
        <v/>
      </c>
      <c r="J142" s="24" t="str">
        <f t="shared" si="4"/>
        <v/>
      </c>
      <c r="K142" s="32" t="str">
        <f t="shared" si="5"/>
        <v/>
      </c>
      <c r="L142" s="60" t="str">
        <f>IFERROR((Förderrechner!$C$7-$J$18)*IF(D142="","",D142)/IF($D$21="%",100,IF($D$21="10.000stel",10000,1000))-K142,"")</f>
        <v/>
      </c>
    </row>
    <row r="143" spans="1:12" ht="13.5" hidden="1" customHeight="1" outlineLevel="1" x14ac:dyDescent="0.35">
      <c r="A143" s="22">
        <v>121</v>
      </c>
      <c r="B143" s="17" t="str">
        <f>IF(Förderrechner!$G$9&gt;=A143,"x","")</f>
        <v/>
      </c>
      <c r="C143" s="17" t="str">
        <f>IF(Förderrechner!$G$23&gt;=A143,"x","")</f>
        <v/>
      </c>
      <c r="D143" s="58"/>
      <c r="E143" s="32" t="str">
        <f>IF(B143&lt;&gt;"",IF(AND(D143=0,Förderrechner!$G$10="Ja"),"&lt;--Eingabe?",$F$6/(Förderrechner!$G$8)),"")</f>
        <v/>
      </c>
      <c r="F143" s="20" t="str">
        <f>IF(AND(H143&lt;&gt;"",Förderrechner!$G$20="ja",B143&lt;&gt;""),IF(Förderrechner!$F$26="2024-2028",20%,IF(Förderrechner!$F$26="2029/30",17%,IF(Förderrechner!$F$26="2031/32",14%,IF(Förderrechner!F$26="2033/34",11%,IF(Förderrechner!F$26="2035/36",8%,0%))))),"")</f>
        <v/>
      </c>
      <c r="G143" s="48" t="str">
        <f t="shared" si="3"/>
        <v/>
      </c>
      <c r="H143" s="20" t="str">
        <f>IF(B143&lt;&gt;"",0.7-$J$15,IF(A143&lt;=Förderrechner!$G$8,0,""))</f>
        <v/>
      </c>
      <c r="I143" s="49" t="str">
        <f>IF(ISNUMBER(E143),MIN(E143,IF(Förderrechner!$G$10="Nein",0,IF($D$21="%",D143/100,IF($D$21="10.000stel",D143/10000,D143/1000))*$J$12)),"")</f>
        <v/>
      </c>
      <c r="J143" s="24" t="str">
        <f t="shared" si="4"/>
        <v/>
      </c>
      <c r="K143" s="32" t="str">
        <f t="shared" si="5"/>
        <v/>
      </c>
      <c r="L143" s="60" t="str">
        <f>IFERROR((Förderrechner!$C$7-$J$18)*IF(D143="","",D143)/IF($D$21="%",100,IF($D$21="10.000stel",10000,1000))-K143,"")</f>
        <v/>
      </c>
    </row>
    <row r="144" spans="1:12" ht="13.5" hidden="1" customHeight="1" outlineLevel="1" x14ac:dyDescent="0.35">
      <c r="A144" s="22">
        <v>122</v>
      </c>
      <c r="B144" s="17" t="str">
        <f>IF(Förderrechner!$G$9&gt;=A144,"x","")</f>
        <v/>
      </c>
      <c r="C144" s="17" t="str">
        <f>IF(Förderrechner!$G$23&gt;=A144,"x","")</f>
        <v/>
      </c>
      <c r="D144" s="58"/>
      <c r="E144" s="32" t="str">
        <f>IF(B144&lt;&gt;"",IF(AND(D144=0,Förderrechner!$G$10="Ja"),"&lt;--Eingabe?",$F$6/(Förderrechner!$G$8)),"")</f>
        <v/>
      </c>
      <c r="F144" s="20" t="str">
        <f>IF(AND(H144&lt;&gt;"",Förderrechner!$G$20="ja",B144&lt;&gt;""),IF(Förderrechner!$F$26="2024-2028",20%,IF(Förderrechner!$F$26="2029/30",17%,IF(Förderrechner!$F$26="2031/32",14%,IF(Förderrechner!F$26="2033/34",11%,IF(Förderrechner!F$26="2035/36",8%,0%))))),"")</f>
        <v/>
      </c>
      <c r="G144" s="48" t="str">
        <f t="shared" si="3"/>
        <v/>
      </c>
      <c r="H144" s="20" t="str">
        <f>IF(B144&lt;&gt;"",0.7-$J$15,IF(A144&lt;=Förderrechner!$G$8,0,""))</f>
        <v/>
      </c>
      <c r="I144" s="49" t="str">
        <f>IF(ISNUMBER(E144),MIN(E144,IF(Förderrechner!$G$10="Nein",0,IF($D$21="%",D144/100,IF($D$21="10.000stel",D144/10000,D144/1000))*$J$12)),"")</f>
        <v/>
      </c>
      <c r="J144" s="24" t="str">
        <f t="shared" si="4"/>
        <v/>
      </c>
      <c r="K144" s="32" t="str">
        <f t="shared" si="5"/>
        <v/>
      </c>
      <c r="L144" s="60" t="str">
        <f>IFERROR((Förderrechner!$C$7-$J$18)*IF(D144="","",D144)/IF($D$21="%",100,IF($D$21="10.000stel",10000,1000))-K144,"")</f>
        <v/>
      </c>
    </row>
    <row r="145" spans="1:12" ht="13.5" hidden="1" customHeight="1" outlineLevel="1" x14ac:dyDescent="0.35">
      <c r="A145" s="22">
        <v>123</v>
      </c>
      <c r="B145" s="17" t="str">
        <f>IF(Förderrechner!$G$9&gt;=A145,"x","")</f>
        <v/>
      </c>
      <c r="C145" s="17" t="str">
        <f>IF(Förderrechner!$G$23&gt;=A145,"x","")</f>
        <v/>
      </c>
      <c r="D145" s="58"/>
      <c r="E145" s="32" t="str">
        <f>IF(B145&lt;&gt;"",IF(AND(D145=0,Förderrechner!$G$10="Ja"),"&lt;--Eingabe?",$F$6/(Förderrechner!$G$8)),"")</f>
        <v/>
      </c>
      <c r="F145" s="20" t="str">
        <f>IF(AND(H145&lt;&gt;"",Förderrechner!$G$20="ja",B145&lt;&gt;""),IF(Förderrechner!$F$26="2024-2028",20%,IF(Förderrechner!$F$26="2029/30",17%,IF(Förderrechner!$F$26="2031/32",14%,IF(Förderrechner!F$26="2033/34",11%,IF(Förderrechner!F$26="2035/36",8%,0%))))),"")</f>
        <v/>
      </c>
      <c r="G145" s="48" t="str">
        <f t="shared" si="3"/>
        <v/>
      </c>
      <c r="H145" s="20" t="str">
        <f>IF(B145&lt;&gt;"",0.7-$J$15,IF(A145&lt;=Förderrechner!$G$8,0,""))</f>
        <v/>
      </c>
      <c r="I145" s="49" t="str">
        <f>IF(ISNUMBER(E145),MIN(E145,IF(Förderrechner!$G$10="Nein",0,IF($D$21="%",D145/100,IF($D$21="10.000stel",D145/10000,D145/1000))*$J$12)),"")</f>
        <v/>
      </c>
      <c r="J145" s="24" t="str">
        <f t="shared" si="4"/>
        <v/>
      </c>
      <c r="K145" s="32" t="str">
        <f t="shared" si="5"/>
        <v/>
      </c>
      <c r="L145" s="60" t="str">
        <f>IFERROR((Förderrechner!$C$7-$J$18)*IF(D145="","",D145)/IF($D$21="%",100,IF($D$21="10.000stel",10000,1000))-K145,"")</f>
        <v/>
      </c>
    </row>
    <row r="146" spans="1:12" ht="13.5" hidden="1" customHeight="1" outlineLevel="1" x14ac:dyDescent="0.35">
      <c r="A146" s="22">
        <v>124</v>
      </c>
      <c r="B146" s="17" t="str">
        <f>IF(Förderrechner!$G$9&gt;=A146,"x","")</f>
        <v/>
      </c>
      <c r="C146" s="17" t="str">
        <f>IF(Förderrechner!$G$23&gt;=A146,"x","")</f>
        <v/>
      </c>
      <c r="D146" s="58"/>
      <c r="E146" s="32" t="str">
        <f>IF(B146&lt;&gt;"",IF(AND(D146=0,Förderrechner!$G$10="Ja"),"&lt;--Eingabe?",$F$6/(Förderrechner!$G$8)),"")</f>
        <v/>
      </c>
      <c r="F146" s="20" t="str">
        <f>IF(AND(H146&lt;&gt;"",Förderrechner!$G$20="ja",B146&lt;&gt;""),IF(Förderrechner!$F$26="2024-2028",20%,IF(Förderrechner!$F$26="2029/30",17%,IF(Förderrechner!$F$26="2031/32",14%,IF(Förderrechner!F$26="2033/34",11%,IF(Förderrechner!F$26="2035/36",8%,0%))))),"")</f>
        <v/>
      </c>
      <c r="G146" s="48" t="str">
        <f t="shared" si="3"/>
        <v/>
      </c>
      <c r="H146" s="20" t="str">
        <f>IF(B146&lt;&gt;"",0.7-$J$15,IF(A146&lt;=Förderrechner!$G$8,0,""))</f>
        <v/>
      </c>
      <c r="I146" s="49" t="str">
        <f>IF(ISNUMBER(E146),MIN(E146,IF(Förderrechner!$G$10="Nein",0,IF($D$21="%",D146/100,IF($D$21="10.000stel",D146/10000,D146/1000))*$J$12)),"")</f>
        <v/>
      </c>
      <c r="J146" s="24" t="str">
        <f t="shared" si="4"/>
        <v/>
      </c>
      <c r="K146" s="32" t="str">
        <f t="shared" si="5"/>
        <v/>
      </c>
      <c r="L146" s="60" t="str">
        <f>IFERROR((Förderrechner!$C$7-$J$18)*IF(D146="","",D146)/IF($D$21="%",100,IF($D$21="10.000stel",10000,1000))-K146,"")</f>
        <v/>
      </c>
    </row>
    <row r="147" spans="1:12" ht="13.5" hidden="1" customHeight="1" outlineLevel="1" thickBot="1" x14ac:dyDescent="0.4">
      <c r="A147" s="70">
        <v>125</v>
      </c>
      <c r="B147" s="71" t="str">
        <f>IF(Förderrechner!$G$9&gt;=A147,"x","")</f>
        <v/>
      </c>
      <c r="C147" s="71" t="str">
        <f>IF(Förderrechner!$G$23&gt;=A147,"x","")</f>
        <v/>
      </c>
      <c r="D147" s="72"/>
      <c r="E147" s="73" t="str">
        <f>IF(B147&lt;&gt;"",IF(AND(D147=0,Förderrechner!$G$10="Ja"),"&lt;--Eingabe?",$F$6/(Förderrechner!$G$8)),"")</f>
        <v/>
      </c>
      <c r="F147" s="74" t="str">
        <f>IF(AND(H147&lt;&gt;"",Förderrechner!$G$20="ja",B147&lt;&gt;""),IF(Förderrechner!$F$26="2024-2028",20%,IF(Förderrechner!$F$26="2029/30",17%,IF(Förderrechner!$F$26="2031/32",14%,IF(Förderrechner!F$26="2033/34",11%,IF(Förderrechner!F$26="2035/36",8%,0%))))),"")</f>
        <v/>
      </c>
      <c r="G147" s="75" t="str">
        <f t="shared" si="3"/>
        <v/>
      </c>
      <c r="H147" s="74" t="str">
        <f>IF(B147&lt;&gt;"",0.7-$J$15,IF(A147&lt;=Förderrechner!$G$8,0,""))</f>
        <v/>
      </c>
      <c r="I147" s="76" t="str">
        <f>IF(ISNUMBER(E147),MIN(E147,IF(Förderrechner!$G$10="Nein",0,IF($D$21="%",D147/100,IF($D$21="10.000stel",D147/10000,D147/1000))*$J$12)),"")</f>
        <v/>
      </c>
      <c r="J147" s="77" t="str">
        <f t="shared" si="4"/>
        <v/>
      </c>
      <c r="K147" s="73" t="str">
        <f t="shared" si="5"/>
        <v/>
      </c>
      <c r="L147" s="78" t="str">
        <f>IFERROR((Förderrechner!$C$7-$J$18)*IF(D147="","",D147)/IF($D$21="%",100,IF($D$21="10.000stel",10000,1000))-K147,"")</f>
        <v/>
      </c>
    </row>
    <row r="148" spans="1:12" ht="17.25" customHeight="1" collapsed="1" x14ac:dyDescent="0.35">
      <c r="A148" t="s">
        <v>57</v>
      </c>
    </row>
    <row r="149" spans="1:12" x14ac:dyDescent="0.35">
      <c r="A149" t="s">
        <v>56</v>
      </c>
    </row>
    <row r="166" spans="1:11" ht="45" customHeight="1" x14ac:dyDescent="0.35"/>
    <row r="168" spans="1:11" ht="15.75" customHeight="1" x14ac:dyDescent="0.35"/>
    <row r="169" spans="1:11" ht="15.75" customHeight="1" x14ac:dyDescent="0.35"/>
    <row r="170" spans="1:11" ht="11.25" customHeight="1" x14ac:dyDescent="0.35">
      <c r="A170" s="67"/>
      <c r="B170" s="67"/>
      <c r="C170" s="67"/>
      <c r="D170" s="67"/>
      <c r="E170" s="67"/>
      <c r="F170" s="67"/>
      <c r="G170" s="67"/>
      <c r="H170" s="67"/>
      <c r="I170" s="67"/>
      <c r="J170" s="67"/>
      <c r="K170" s="67"/>
    </row>
    <row r="171" spans="1:11" ht="5.25" hidden="1" customHeight="1" x14ac:dyDescent="0.5">
      <c r="A171" s="151"/>
      <c r="B171" s="151"/>
      <c r="C171" s="151"/>
      <c r="D171" s="151"/>
      <c r="E171" s="151"/>
      <c r="F171" s="151"/>
      <c r="G171" s="151"/>
      <c r="H171" s="151"/>
      <c r="I171" s="151"/>
      <c r="J171" s="151"/>
      <c r="K171" s="151"/>
    </row>
    <row r="172" spans="1:11" ht="45" customHeight="1" x14ac:dyDescent="0.35">
      <c r="A172" s="66"/>
      <c r="B172" s="66"/>
      <c r="C172" s="66"/>
      <c r="D172" s="66"/>
      <c r="E172" s="66"/>
      <c r="F172" s="66"/>
      <c r="G172" s="66"/>
      <c r="H172" s="66"/>
      <c r="I172" s="66"/>
      <c r="J172" s="66"/>
      <c r="K172" s="66"/>
    </row>
  </sheetData>
  <sheetProtection algorithmName="SHA-512" hashValue="U5YLOhOG8xohFmN9ng6eS2yI1mrKHQI+uX0zJcBmCKK9Q178dne8tnJXb3/2wRxCxbxGqahiI8DUG/MTDI4Hug==" saltValue="kwqMuP1XBs3u708LNENFCA==" spinCount="100000" sheet="1" formatRows="0"/>
  <mergeCells count="41">
    <mergeCell ref="A1:L2"/>
    <mergeCell ref="A4:L4"/>
    <mergeCell ref="J18:L18"/>
    <mergeCell ref="J17:L17"/>
    <mergeCell ref="J16:L16"/>
    <mergeCell ref="J15:L15"/>
    <mergeCell ref="H6:I6"/>
    <mergeCell ref="F5:G5"/>
    <mergeCell ref="F6:G6"/>
    <mergeCell ref="A5:C5"/>
    <mergeCell ref="A6:C6"/>
    <mergeCell ref="A10:L10"/>
    <mergeCell ref="J6:K6"/>
    <mergeCell ref="J5:K5"/>
    <mergeCell ref="J14:L14"/>
    <mergeCell ref="H5:I5"/>
    <mergeCell ref="A171:K171"/>
    <mergeCell ref="K21:K22"/>
    <mergeCell ref="J21:J22"/>
    <mergeCell ref="H21:H22"/>
    <mergeCell ref="I21:I22"/>
    <mergeCell ref="C21:C22"/>
    <mergeCell ref="B21:B22"/>
    <mergeCell ref="F21:G21"/>
    <mergeCell ref="A21:A22"/>
    <mergeCell ref="L21:L22"/>
    <mergeCell ref="J12:L12"/>
    <mergeCell ref="J11:L11"/>
    <mergeCell ref="A7:K7"/>
    <mergeCell ref="A8:K8"/>
    <mergeCell ref="A20:L20"/>
    <mergeCell ref="J13:L13"/>
    <mergeCell ref="A18:I18"/>
    <mergeCell ref="A17:I17"/>
    <mergeCell ref="A16:I16"/>
    <mergeCell ref="A15:I15"/>
    <mergeCell ref="A14:I14"/>
    <mergeCell ref="A13:I13"/>
    <mergeCell ref="A12:I12"/>
    <mergeCell ref="A11:I11"/>
    <mergeCell ref="E21:E22"/>
  </mergeCells>
  <conditionalFormatting sqref="D23:D147">
    <cfRule type="expression" dxfId="3" priority="35">
      <formula>D23&gt;=IF($D$21="%",100,IF($D$21="10.000stel",10000,1000))</formula>
    </cfRule>
    <cfRule type="expression" dxfId="2" priority="36">
      <formula>SUM($D$23:$D$164)&gt;IF($D$21="%",100,IF($D$21="10.000stel",10000,1000))</formula>
    </cfRule>
    <cfRule type="expression" dxfId="0" priority="38">
      <formula>($B23&lt;&gt;"x")</formula>
    </cfRule>
  </conditionalFormatting>
  <dataValidations disablePrompts="1" count="1">
    <dataValidation type="list" allowBlank="1" showInputMessage="1" showErrorMessage="1" sqref="D21" xr:uid="{7489CF18-74A1-4016-BB91-B0D39C7AE116}">
      <formula1>"%, 1.000stel, 10.000stel"</formula1>
    </dataValidation>
  </dataValidations>
  <pageMargins left="0.7" right="0.66091954022988508" top="0.89673913043478259" bottom="0.78740157499999996" header="0.3" footer="0.3"/>
  <pageSetup paperSize="9" orientation="portrait" r:id="rId1"/>
  <headerFooter>
    <oddHeader xml:space="preserve">&amp;L&amp;10Version 3.3.1 - Stand 01.08.2024&amp;R&amp;G
</oddHeader>
    <oddFooter xml:space="preserve">&amp;L&amp;8© Öko-Zentrum NRW GmbH, 08/2024 - Alle Rechte vorbehalten. Für die Berechnungsergebnisse wird keine Haftung übernommen.
</oddFooter>
  </headerFooter>
  <legacyDrawing r:id="rId2"/>
  <legacyDrawingHF r:id="rId3"/>
  <extLst>
    <ext xmlns:x14="http://schemas.microsoft.com/office/spreadsheetml/2009/9/main" uri="{78C0D931-6437-407d-A8EE-F0AAD7539E65}">
      <x14:conditionalFormattings>
        <x14:conditionalFormatting xmlns:xm="http://schemas.microsoft.com/office/excel/2006/main">
          <x14:cfRule type="expression" priority="37" id="{00000000-000E-0000-0100-000003000000}">
            <xm:f>($A23&lt;=Förderrechner!$G$9)</xm:f>
            <x14:dxf>
              <numFmt numFmtId="3" formatCode="#,##0"/>
              <fill>
                <patternFill>
                  <bgColor theme="9" tint="0.79998168889431442"/>
                </patternFill>
              </fill>
            </x14:dxf>
          </x14:cfRule>
          <xm:sqref>D23:D147</xm:sqref>
        </x14:conditionalFormatting>
      </x14:conditionalFormattings>
    </ext>
  </extLst>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Arbeitsblätter</vt:lpstr>
      </vt:variant>
      <vt:variant>
        <vt:i4>2</vt:i4>
      </vt:variant>
    </vt:vector>
  </HeadingPairs>
  <TitlesOfParts>
    <vt:vector size="2" baseType="lpstr">
      <vt:lpstr>Förderrechner</vt:lpstr>
      <vt:lpstr>Detailrechnung WEG</vt:lpstr>
    </vt:vector>
  </TitlesOfParts>
  <Manager/>
  <Company>Öko-Zentrum NRW GmbH</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Förderrechner BEG EM Heizung 2023 2024</dc:title>
  <dc:subject/>
  <dc:creator>David Könnig;Markus Hagenkamp - Öko-Zentrum NRW GmbH</dc:creator>
  <cp:keywords/>
  <dc:description/>
  <cp:lastModifiedBy>Jan Karwatzki</cp:lastModifiedBy>
  <cp:revision/>
  <cp:lastPrinted>2023-11-27T09:37:35Z</cp:lastPrinted>
  <dcterms:created xsi:type="dcterms:W3CDTF">2023-07-21T11:09:02Z</dcterms:created>
  <dcterms:modified xsi:type="dcterms:W3CDTF">2024-08-01T08:04:16Z</dcterms:modified>
  <cp:category/>
  <cp:contentStatus/>
</cp:coreProperties>
</file>